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4" windowWidth="20784" windowHeight="11796" tabRatio="762" firstSheet="3" activeTab="3"/>
  </bookViews>
  <sheets>
    <sheet name="HiddenTables" sheetId="1" state="veryHidden" r:id="rId1"/>
    <sheet name="HiddenUnitData" sheetId="2" state="veryHidden" r:id="rId2"/>
    <sheet name="HiddenControls" sheetId="3" state="veryHidden" r:id="rId3"/>
    <sheet name="Cover" sheetId="4" r:id="rId4"/>
    <sheet name="Select-Hot Water" sheetId="5" state="veryHidden" r:id="rId5"/>
    <sheet name="Rate-Hot Water" sheetId="6" state="veryHidden" r:id="rId6"/>
    <sheet name="Select-Steam" sheetId="7" state="veryHidden" r:id="rId7"/>
    <sheet name="Rate-Steam" sheetId="8" state="veryHidden" r:id="rId8"/>
    <sheet name="Notes" sheetId="9" state="veryHidden" r:id="rId9"/>
  </sheets>
  <definedNames>
    <definedName name="LENTABLE">#REF!,#REF!</definedName>
    <definedName name="OPT20TAB">#REF!</definedName>
    <definedName name="PRICETAB">#REF!</definedName>
    <definedName name="_xlnm.Print_Area" localSheetId="2">'HiddenControls'!$A$1:$AS$188</definedName>
    <definedName name="_xlnm.Print_Area" localSheetId="0">'HiddenTables'!$A$95:$AN$635</definedName>
    <definedName name="_xlnm.Print_Area" localSheetId="1">'HiddenUnitData'!$C$9:$L$26</definedName>
    <definedName name="_xlnm.Print_Area" localSheetId="5">'Rate-Hot Water'!$B$2:$R$30</definedName>
    <definedName name="_xlnm.Print_Area" localSheetId="7">'Rate-Steam'!$B$2:$P$25</definedName>
    <definedName name="_xlnm.Print_Area" localSheetId="4">'Select-Hot Water'!$B$6:$Q$37</definedName>
    <definedName name="_xlnm.Print_Area" localSheetId="6">'Select-Steam'!$B$2:$P$36</definedName>
    <definedName name="SIZETABLE">#REF!</definedName>
    <definedName name="SPBTU">#REF!</definedName>
    <definedName name="SPCFM">#REF!</definedName>
    <definedName name="STBTU" localSheetId="6">'Select-Steam'!#REF!</definedName>
    <definedName name="STBTU">#REF!</definedName>
    <definedName name="STEAMTAB">#REF!</definedName>
    <definedName name="TDTAB">#REF!</definedName>
    <definedName name="TWOROW">#REF!</definedName>
    <definedName name="WTEMPTAB">#REF!</definedName>
  </definedNames>
  <calcPr fullCalcOnLoad="1"/>
</workbook>
</file>

<file path=xl/sharedStrings.xml><?xml version="1.0" encoding="utf-8"?>
<sst xmlns="http://schemas.openxmlformats.org/spreadsheetml/2006/main" count="1009" uniqueCount="292">
  <si>
    <t>UNIT</t>
  </si>
  <si>
    <t>SIZE</t>
  </si>
  <si>
    <t>GPM</t>
  </si>
  <si>
    <t>WATER</t>
  </si>
  <si>
    <t>P.D./FT.</t>
  </si>
  <si>
    <t>CFM</t>
  </si>
  <si>
    <t>MBH</t>
  </si>
  <si>
    <t>WTD</t>
  </si>
  <si>
    <t>FAT</t>
  </si>
  <si>
    <t>02</t>
  </si>
  <si>
    <t>03</t>
  </si>
  <si>
    <t>04</t>
  </si>
  <si>
    <t>06</t>
  </si>
  <si>
    <t>08</t>
  </si>
  <si>
    <t>10</t>
  </si>
  <si>
    <t>12</t>
  </si>
  <si>
    <t>14</t>
  </si>
  <si>
    <t>WTDº</t>
  </si>
  <si>
    <t>FATº</t>
  </si>
  <si>
    <t>EATº</t>
  </si>
  <si>
    <t>EWTº</t>
  </si>
  <si>
    <t>COIL</t>
  </si>
  <si>
    <t>1 ROW</t>
  </si>
  <si>
    <t>2 ROW</t>
  </si>
  <si>
    <t>Weight</t>
  </si>
  <si>
    <t>BTU</t>
  </si>
  <si>
    <t>EDR</t>
  </si>
  <si>
    <t>COND.</t>
  </si>
  <si>
    <t>LB/HR</t>
  </si>
  <si>
    <t>@ 2 PSI</t>
  </si>
  <si>
    <t>EAT</t>
  </si>
  <si>
    <t>ENTERING WATER TEMP - 20 DEG TEMP DROP</t>
  </si>
  <si>
    <t>WPD</t>
  </si>
  <si>
    <t>PSI</t>
  </si>
  <si>
    <t>ESP</t>
  </si>
  <si>
    <t>EWT</t>
  </si>
  <si>
    <t>HOT WATER  - UNIT TABLE</t>
  </si>
  <si>
    <t>STEAM - UNIT TABLE</t>
  </si>
  <si>
    <t>Steam</t>
  </si>
  <si>
    <t>psi</t>
  </si>
  <si>
    <t xml:space="preserve"> </t>
  </si>
  <si>
    <t>Altitude</t>
  </si>
  <si>
    <t>percent</t>
  </si>
  <si>
    <t>% Glycol</t>
  </si>
  <si>
    <t>ratings tables</t>
  </si>
  <si>
    <t>row</t>
  </si>
  <si>
    <t>size</t>
  </si>
  <si>
    <t>cfm</t>
  </si>
  <si>
    <t/>
  </si>
  <si>
    <t>Water</t>
  </si>
  <si>
    <t>EAT/EWT  Correction factor for BTU</t>
  </si>
  <si>
    <t>This table applies to Cabinet Unit Heaters</t>
  </si>
  <si>
    <t>Source: Vulcan Cabinet Unit Heater Catalog 415.10 page 12</t>
  </si>
  <si>
    <t>sheetname</t>
  </si>
  <si>
    <t>HiddenTables</t>
  </si>
  <si>
    <t>FindVertValue</t>
  </si>
  <si>
    <t>findHorizValue</t>
  </si>
  <si>
    <t>SeachCol</t>
  </si>
  <si>
    <t>SearchRow</t>
  </si>
  <si>
    <t>FirstRow</t>
  </si>
  <si>
    <t>LastRow</t>
  </si>
  <si>
    <t>FirstCol</t>
  </si>
  <si>
    <t>LastCol</t>
  </si>
  <si>
    <t>Result</t>
  </si>
  <si>
    <t>Corr Fac</t>
  </si>
  <si>
    <t>CF</t>
  </si>
  <si>
    <t>FindValue</t>
  </si>
  <si>
    <t>DataCol</t>
  </si>
  <si>
    <t>External Static Pressure Correction factor for BTU</t>
  </si>
  <si>
    <t>Altitude Correction factor for BTU</t>
  </si>
  <si>
    <t xml:space="preserve">This table applies to cabinet and regular unit heaters </t>
  </si>
  <si>
    <t>Table from  ASHREA High Altitude Effects Symposium 1965 figure 4, page 48</t>
  </si>
  <si>
    <t>cf</t>
  </si>
  <si>
    <t>PSI Correction factor for BTU</t>
  </si>
  <si>
    <t>See Water sheet for Finned tube factors</t>
  </si>
  <si>
    <t xml:space="preserve">Steam Pressure PSI </t>
  </si>
  <si>
    <t>CFM Correction factor for Entering Air Temperature (EAT)</t>
  </si>
  <si>
    <t>Corr. Fac.</t>
  </si>
  <si>
    <t>From Nesbitt Propeller Fan Unit Heater Catalog, Publication 41-1</t>
  </si>
  <si>
    <t>latent heat</t>
  </si>
  <si>
    <t>Latent Heat of Steam For Condensate Calculation</t>
  </si>
  <si>
    <t>From Vulcan Cabinet Unit Heater Catalog 415.10 page 11</t>
  </si>
  <si>
    <t>Latent Heat</t>
  </si>
  <si>
    <t>Static Pressure Correction Factor for CFM</t>
  </si>
  <si>
    <t>size 02</t>
  </si>
  <si>
    <t>size 03</t>
  </si>
  <si>
    <t>size 04</t>
  </si>
  <si>
    <t>size 06</t>
  </si>
  <si>
    <t>size 08</t>
  </si>
  <si>
    <t>size 10</t>
  </si>
  <si>
    <t>size 12</t>
  </si>
  <si>
    <t>size 14</t>
  </si>
  <si>
    <t>Corr factor</t>
  </si>
  <si>
    <t>Ethylene Glycol Correction factor for BTU</t>
  </si>
  <si>
    <t>temp</t>
  </si>
  <si>
    <t>This table applies to All products, based on fig 10 curves from ASHRAE Fundementals pg 18.10</t>
  </si>
  <si>
    <t>Percent Glycol</t>
  </si>
  <si>
    <t xml:space="preserve">Fluid </t>
  </si>
  <si>
    <t>Specific heat</t>
  </si>
  <si>
    <t>Temp</t>
  </si>
  <si>
    <t>BTU/lb deg</t>
  </si>
  <si>
    <t>Propylene Glycol Correction factor for BTU</t>
  </si>
  <si>
    <t>This table applies to All products, based on fig 14 curves from ASHRAE Fundementals pg 18.10</t>
  </si>
  <si>
    <t>searchcol</t>
  </si>
  <si>
    <t>Weight of Water Calculation</t>
  </si>
  <si>
    <t>VolumeCol</t>
  </si>
  <si>
    <t>WeightCol</t>
  </si>
  <si>
    <t>densityCol</t>
  </si>
  <si>
    <t>1 gallon = .1337 cubic foot, 1 cu ft = 7.48 gallon</t>
  </si>
  <si>
    <t xml:space="preserve">  &lt;-- from Machinery's Handbook pg 2447</t>
  </si>
  <si>
    <t xml:space="preserve">7.4805 gallon = 1 cu ft  </t>
  </si>
  <si>
    <t>&lt;-- fom Marks' Standard Handbook for Engineers , pg 1-31</t>
  </si>
  <si>
    <t>therefore  1 gallon = .1336809 cu ft</t>
  </si>
  <si>
    <t>result</t>
  </si>
  <si>
    <t>Volume</t>
  </si>
  <si>
    <t>***   Use conversion from Marks' engineers handbook</t>
  </si>
  <si>
    <t>density</t>
  </si>
  <si>
    <t>lb/gal =  conversion (cu ft/gal) / specific volume (cu ft/lb)</t>
  </si>
  <si>
    <t>Using Specific Volumes from 1993 ASHREA handbook, Fundamentals pgs 6.8 thru 6.10</t>
  </si>
  <si>
    <t>and solving for the weight of water per gallon yields:</t>
  </si>
  <si>
    <t>Density(lb/cu ft) = 1 / specific volume(cu ft/lb)</t>
  </si>
  <si>
    <t>volume cu ft/lb</t>
  </si>
  <si>
    <t>lb/ gallon</t>
  </si>
  <si>
    <t>Density lb/cu ft</t>
  </si>
  <si>
    <t>Weight of Ethylene Glycol Mixtures</t>
  </si>
  <si>
    <t>weight</t>
  </si>
  <si>
    <t>(lb/gal)</t>
  </si>
  <si>
    <t>Weight of Propylene Glycol Mixtures</t>
  </si>
  <si>
    <t>Viscosity of Water</t>
  </si>
  <si>
    <t>Viscosity</t>
  </si>
  <si>
    <t>lb/ft hr</t>
  </si>
  <si>
    <t>lb/ft sec</t>
  </si>
  <si>
    <t>viscosity</t>
  </si>
  <si>
    <t>findvalue</t>
  </si>
  <si>
    <t>awt</t>
  </si>
  <si>
    <t>Viscosity of Ethylene Glycol</t>
  </si>
  <si>
    <t>(centipoise)</t>
  </si>
  <si>
    <t>convert from centipoisies to lb/ft sec: mult by .000672</t>
  </si>
  <si>
    <t>Viscosity of Propylene Glycol</t>
  </si>
  <si>
    <t>Reynolds # vs Friction Factor</t>
  </si>
  <si>
    <t xml:space="preserve">from Moody chart, </t>
  </si>
  <si>
    <t>source: Engineering Formulas, 6th edition, K. Gieck &amp; R. Gieck, page Z8</t>
  </si>
  <si>
    <t>friction factor</t>
  </si>
  <si>
    <t>Re</t>
  </si>
  <si>
    <t>smooth pipe (f)</t>
  </si>
  <si>
    <t>reynolds</t>
  </si>
  <si>
    <t>(determined by trial and error per catalog data, using work area below)</t>
  </si>
  <si>
    <t>1 row equiv. ft</t>
  </si>
  <si>
    <t>2 row equiv ft</t>
  </si>
  <si>
    <t>tube id</t>
  </si>
  <si>
    <t>correction factors taken from Vulcan Cabinet Unit Heaters Catalog 415.10 page 12</t>
  </si>
  <si>
    <t>Correction Factors for Water Temp. Drop</t>
  </si>
  <si>
    <t>Equivalent Lenghts for Head Loss Calc.</t>
  </si>
  <si>
    <t>GPMCol</t>
  </si>
  <si>
    <t>BTUCol</t>
  </si>
  <si>
    <t>WPDCol</t>
  </si>
  <si>
    <t>CABINET UNIT HEATERS</t>
  </si>
  <si>
    <t>HEATING CAPACITIES</t>
  </si>
  <si>
    <t>TABLE II - STANDARD COIL</t>
  </si>
  <si>
    <t xml:space="preserve">ENTERING WATER - 200º F  </t>
  </si>
  <si>
    <t xml:space="preserve">ENTERING AIR - 60º F  </t>
  </si>
  <si>
    <t>HIGH FAN SPEED</t>
  </si>
  <si>
    <t>LOW FAN SPEED</t>
  </si>
  <si>
    <t>TABLE III - HIGH CAPACITIY - 2 ROW COIL</t>
  </si>
  <si>
    <t xml:space="preserve">ENTERING WATER - 200º F   </t>
  </si>
  <si>
    <t xml:space="preserve">ENTERING AIR - 60º F   </t>
  </si>
  <si>
    <t>Sheetname</t>
  </si>
  <si>
    <t>select table</t>
  </si>
  <si>
    <t>*</t>
  </si>
  <si>
    <t>**</t>
  </si>
  <si>
    <t>** Conditional Unit Data</t>
  </si>
  <si>
    <t>Liters/</t>
  </si>
  <si>
    <t>Second</t>
  </si>
  <si>
    <t>P.D./M</t>
  </si>
  <si>
    <t>M³/min.</t>
  </si>
  <si>
    <t>Watts</t>
  </si>
  <si>
    <t>WTD ºC</t>
  </si>
  <si>
    <t>FAT  ºC</t>
  </si>
  <si>
    <t>EAT ºC</t>
  </si>
  <si>
    <t>EWT ºC</t>
  </si>
  <si>
    <t>KG/HR</t>
  </si>
  <si>
    <t>&lt;-- doesn't work well above 60 deg eat</t>
  </si>
  <si>
    <t>Nearest unit size rated above required MBH</t>
  </si>
  <si>
    <t>Nearest unit size rated below required MBH</t>
  </si>
  <si>
    <t>Output Area</t>
  </si>
  <si>
    <t>Input Area</t>
  </si>
  <si>
    <t>Equivalent Metric Ratings</t>
  </si>
  <si>
    <t>Standard Ratings</t>
  </si>
  <si>
    <t>Select unit size</t>
  </si>
  <si>
    <t>Select Standard or High Capacity Coil</t>
  </si>
  <si>
    <t>Cabinet Unit Heater Steam Ratings Calculations</t>
  </si>
  <si>
    <t>Cabinet Unit Heater Hot Water Ratings Calculations</t>
  </si>
  <si>
    <t>Cabinet Unit Heater Hot Water Selection</t>
  </si>
  <si>
    <t>Cabinet Unit Heater Steam Selection</t>
  </si>
  <si>
    <t>WTD ºF</t>
  </si>
  <si>
    <t>FAT ºF</t>
  </si>
  <si>
    <t>EAT ºF</t>
  </si>
  <si>
    <t>EWT ºF</t>
  </si>
  <si>
    <t>* Standard Conditions Catalog Data</t>
  </si>
  <si>
    <t>Height above Sea Level (Feet)</t>
  </si>
  <si>
    <t xml:space="preserve"> Conditional Unit Data</t>
  </si>
  <si>
    <t xml:space="preserve"> Standard Conditions Catalog Data</t>
  </si>
  <si>
    <t>NOT USED !!!!!!!</t>
  </si>
  <si>
    <t>These tables would show the cfm choices for the "Rate" sheets when unit size was selected</t>
  </si>
  <si>
    <t>MBH= (Cond. LB/Hr * Latent Heat of steam at conditional pressure)/1000</t>
  </si>
  <si>
    <t>1000 is the conversion from Btu to MBH</t>
  </si>
  <si>
    <t>EDR = (MBH * 1000 Btu/MBH)/240</t>
  </si>
  <si>
    <t>FAT = (MBH * 1000 Btu/MBH)/(1.085 * CFM)  + EAT</t>
  </si>
  <si>
    <t>Note: for 2 psi steam the latent heat is 966.3</t>
  </si>
  <si>
    <t>delete?????</t>
  </si>
  <si>
    <t>data tables</t>
  </si>
  <si>
    <t>for calculation</t>
  </si>
  <si>
    <t>DATA FROM TABLE I VULCAN CATALOG 415.12</t>
  </si>
  <si>
    <t xml:space="preserve">Source: Nesbitt Propeller Fan Unit Heater Catalog  and </t>
  </si>
  <si>
    <t xml:space="preserve"> Vulcan Cabinet Unit Heater Catalog 415.10 page 12</t>
  </si>
  <si>
    <t>Entering Air Temperature</t>
  </si>
  <si>
    <t>kPa</t>
  </si>
  <si>
    <t>NOTE: THIS DATA TABLE WAS TAKEN FROM TABLE I, VULCAN CATALOG 415.12 (USED MBH AND CFM DATA) OR DERIVED FROM TABLE II &amp; III</t>
  </si>
  <si>
    <t>FAT IS CALCULATED</t>
  </si>
  <si>
    <t>NOTE: THIS DATA TABLE WAS DERIVED FROM TABLE II, VULCAN CATALOG 415.10 (USED MBH AND CFM DATA)</t>
  </si>
  <si>
    <t>SPEED</t>
  </si>
  <si>
    <t xml:space="preserve">- - - - </t>
  </si>
  <si>
    <t>HIGH</t>
  </si>
  <si>
    <t>1410</t>
  </si>
  <si>
    <t>845</t>
  </si>
  <si>
    <t>1040</t>
  </si>
  <si>
    <t>1210</t>
  </si>
  <si>
    <t>Original data!!!!</t>
  </si>
  <si>
    <t>Cabinet Unit Heater Selection / Rating Spreadsheet</t>
  </si>
  <si>
    <t>For Mestek Cabinet Unit Heaters</t>
  </si>
  <si>
    <t>To run this spreadsheet, macros must be enabled.</t>
  </si>
  <si>
    <t>Mestek suggests setting Excel's macro security to "Medium"</t>
  </si>
  <si>
    <t>and selecting "Enable" when the security prompt appears</t>
  </si>
  <si>
    <t>when opening the spreadsheet.</t>
  </si>
  <si>
    <t>Select "Macro", then "Security", then Medium" and then hit "OK".</t>
  </si>
  <si>
    <t>To set the macro security via the "Tools" menu.</t>
  </si>
  <si>
    <t>Designed by M. Girard</t>
  </si>
  <si>
    <t>Dec. 2010</t>
  </si>
  <si>
    <t>This table is air density ratio</t>
  </si>
  <si>
    <t>Per calculations by M. Girard March 2014</t>
  </si>
  <si>
    <t xml:space="preserve">Pervious lookup table </t>
  </si>
  <si>
    <t>Protected sheets use password:  mestek13</t>
  </si>
  <si>
    <t>Macro's password: mestek13</t>
  </si>
  <si>
    <t>10/22/2014</t>
  </si>
  <si>
    <t>corrected altitude factor in leaving air temp calculation in all macros</t>
  </si>
  <si>
    <t>corrected cfm variable in leaving air temp calculation in all macros.</t>
  </si>
  <si>
    <t>Metric Inputs</t>
  </si>
  <si>
    <t>EAT (°C)</t>
  </si>
  <si>
    <t>EWT (°C)</t>
  </si>
  <si>
    <t>WTD (°C)</t>
  </si>
  <si>
    <t>Imperical Ratings</t>
  </si>
  <si>
    <t>Metric</t>
  </si>
  <si>
    <t>Entering Water Temperature</t>
  </si>
  <si>
    <t>EWT (°F)</t>
  </si>
  <si>
    <t>Water Temperature Drop</t>
  </si>
  <si>
    <t>WTD (°F)</t>
  </si>
  <si>
    <t>EAT (°F)</t>
  </si>
  <si>
    <t>External Static Pressure</t>
  </si>
  <si>
    <t xml:space="preserve">Height above Sea Level </t>
  </si>
  <si>
    <t>Altitude (Feet)</t>
  </si>
  <si>
    <t>Imperial Inputs</t>
  </si>
  <si>
    <t>Metric inputs overwrite Imperial inputs, leave blank</t>
  </si>
  <si>
    <t>when using Imperial data.</t>
  </si>
  <si>
    <t>Metric inputs overwrite Imperial inputs, leave</t>
  </si>
  <si>
    <t>blank when using Imperial data.</t>
  </si>
  <si>
    <t>Imperial</t>
  </si>
  <si>
    <t>Nearest unit size rated above required Watts</t>
  </si>
  <si>
    <t>Nearest unit size rated below required Watts</t>
  </si>
  <si>
    <t>ESP (Inches H20)</t>
  </si>
  <si>
    <t>Steam Pressure</t>
  </si>
  <si>
    <t>Required Capacity</t>
  </si>
  <si>
    <t>Altitude (Meters)</t>
  </si>
  <si>
    <t>Pressure (PSI)</t>
  </si>
  <si>
    <t>Pressure (kPa)</t>
  </si>
  <si>
    <t>Capacity (Watts)</t>
  </si>
  <si>
    <t>Capacity (MBH)</t>
  </si>
  <si>
    <t>Metric inputs overwrite Imperial inputs, leave Metric inputs blank when using Imperial data.</t>
  </si>
  <si>
    <t xml:space="preserve">Steam Pressure </t>
  </si>
  <si>
    <t>ESP (Inches H2O)</t>
  </si>
  <si>
    <t>Height above Sea Level</t>
  </si>
  <si>
    <t>ESP (mm H2O)</t>
  </si>
  <si>
    <t>ESP (mm H20)</t>
  </si>
  <si>
    <t>added metric input option to all sheets and metric outputs on sheets that did not have them</t>
  </si>
  <si>
    <t>Calculations assume High Static Motor option for ESP above .126</t>
  </si>
  <si>
    <t>Calculations assume High Static Motor option for ESP above 3.21</t>
  </si>
  <si>
    <t>Percentage of glycol</t>
  </si>
  <si>
    <t>glycol</t>
  </si>
  <si>
    <t>PROPYLENE</t>
  </si>
  <si>
    <t>ETHYLENE</t>
  </si>
  <si>
    <t>Percentage of Glycol</t>
  </si>
  <si>
    <t>Ethylene</t>
  </si>
  <si>
    <t>90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</si>
</sst>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$&quot;#,##0.00"/>
    <numFmt numFmtId="168" formatCode="&quot;$&quot;#,##0.000"/>
    <numFmt numFmtId="169" formatCode="0.00000"/>
    <numFmt numFmtId="170" formatCode="0.000000"/>
    <numFmt numFmtId="171" formatCode="m/d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6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61"/>
      <name val="Arial"/>
      <family val="2"/>
    </font>
    <font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5"/>
      <name val="Arial"/>
      <family val="2"/>
    </font>
    <font>
      <b/>
      <i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63"/>
      <name val="Arial"/>
      <family val="2"/>
    </font>
    <font>
      <sz val="18"/>
      <name val="Arial"/>
      <family val="2"/>
    </font>
    <font>
      <b/>
      <i/>
      <sz val="10"/>
      <color indexed="23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5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0" fillId="33" borderId="15" xfId="0" applyFill="1" applyBorder="1" applyAlignment="1" applyProtection="1">
      <alignment horizontal="center"/>
      <protection hidden="1" locked="0"/>
    </xf>
    <xf numFmtId="164" fontId="0" fillId="33" borderId="16" xfId="0" applyNumberFormat="1" applyFill="1" applyBorder="1" applyAlignment="1" applyProtection="1">
      <alignment horizontal="center"/>
      <protection hidden="1" locked="0"/>
    </xf>
    <xf numFmtId="1" fontId="0" fillId="33" borderId="16" xfId="0" applyNumberFormat="1" applyFill="1" applyBorder="1" applyAlignment="1" applyProtection="1">
      <alignment horizontal="center"/>
      <protection hidden="1" locked="0"/>
    </xf>
    <xf numFmtId="2" fontId="0" fillId="33" borderId="16" xfId="0" applyNumberFormat="1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0" fontId="0" fillId="0" borderId="0" xfId="0" applyAlignment="1" applyProtection="1">
      <alignment/>
      <protection hidden="1"/>
    </xf>
    <xf numFmtId="0" fontId="1" fillId="34" borderId="19" xfId="0" applyFont="1" applyFill="1" applyBorder="1" applyAlignment="1" applyProtection="1">
      <alignment horizontal="center"/>
      <protection hidden="1"/>
    </xf>
    <xf numFmtId="49" fontId="1" fillId="34" borderId="19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ill="1" applyBorder="1" applyAlignment="1" applyProtection="1">
      <alignment horizontal="center"/>
      <protection hidden="1"/>
    </xf>
    <xf numFmtId="49" fontId="1" fillId="34" borderId="16" xfId="0" applyNumberFormat="1" applyFont="1" applyFill="1" applyBorder="1" applyAlignment="1" applyProtection="1">
      <alignment horizontal="center"/>
      <protection hidden="1"/>
    </xf>
    <xf numFmtId="49" fontId="1" fillId="34" borderId="15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1" fillId="34" borderId="19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1" fillId="35" borderId="15" xfId="0" applyNumberFormat="1" applyFont="1" applyFill="1" applyBorder="1" applyAlignment="1" applyProtection="1">
      <alignment horizontal="center"/>
      <protection/>
    </xf>
    <xf numFmtId="49" fontId="1" fillId="34" borderId="16" xfId="0" applyNumberFormat="1" applyFont="1" applyFill="1" applyBorder="1" applyAlignment="1" applyProtection="1">
      <alignment horizontal="center"/>
      <protection/>
    </xf>
    <xf numFmtId="49" fontId="1" fillId="34" borderId="15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49" fontId="1" fillId="34" borderId="20" xfId="0" applyNumberFormat="1" applyFont="1" applyFill="1" applyBorder="1" applyAlignment="1" applyProtection="1">
      <alignment horizontal="center"/>
      <protection hidden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49" fontId="1" fillId="34" borderId="22" xfId="0" applyNumberFormat="1" applyFont="1" applyFill="1" applyBorder="1" applyAlignment="1" applyProtection="1">
      <alignment horizontal="center"/>
      <protection hidden="1"/>
    </xf>
    <xf numFmtId="0" fontId="0" fillId="0" borderId="2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15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0" fillId="0" borderId="14" xfId="0" applyFill="1" applyBorder="1" applyAlignment="1" applyProtection="1">
      <alignment horizontal="center"/>
      <protection locked="0"/>
    </xf>
    <xf numFmtId="1" fontId="0" fillId="0" borderId="27" xfId="0" applyNumberFormat="1" applyFill="1" applyBorder="1" applyAlignment="1" applyProtection="1">
      <alignment horizontal="center"/>
      <protection/>
    </xf>
    <xf numFmtId="1" fontId="0" fillId="0" borderId="28" xfId="0" applyNumberFormat="1" applyFill="1" applyBorder="1" applyAlignment="1" applyProtection="1">
      <alignment horizontal="center"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49" fontId="0" fillId="0" borderId="29" xfId="0" applyNumberFormat="1" applyFont="1" applyFill="1" applyBorder="1" applyAlignment="1" applyProtection="1">
      <alignment horizontal="center"/>
      <protection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2" fontId="0" fillId="0" borderId="14" xfId="0" applyNumberFormat="1" applyFill="1" applyBorder="1" applyAlignment="1" applyProtection="1">
      <alignment horizontal="center"/>
      <protection locked="0"/>
    </xf>
    <xf numFmtId="1" fontId="1" fillId="0" borderId="32" xfId="0" applyNumberFormat="1" applyFont="1" applyFill="1" applyBorder="1" applyAlignment="1" applyProtection="1">
      <alignment horizontal="center"/>
      <protection/>
    </xf>
    <xf numFmtId="1" fontId="1" fillId="0" borderId="27" xfId="0" applyNumberFormat="1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33" borderId="0" xfId="0" applyFill="1" applyAlignment="1">
      <alignment/>
    </xf>
    <xf numFmtId="169" fontId="0" fillId="0" borderId="23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1" fontId="0" fillId="0" borderId="0" xfId="0" applyNumberFormat="1" applyAlignment="1">
      <alignment/>
    </xf>
    <xf numFmtId="2" fontId="0" fillId="0" borderId="0" xfId="0" applyNumberFormat="1" applyFill="1" applyBorder="1" applyAlignment="1" applyProtection="1">
      <alignment horizontal="center"/>
      <protection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0" fontId="16" fillId="0" borderId="26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6" fillId="0" borderId="18" xfId="0" applyFont="1" applyBorder="1" applyAlignment="1">
      <alignment/>
    </xf>
    <xf numFmtId="0" fontId="0" fillId="0" borderId="10" xfId="0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1" fontId="0" fillId="0" borderId="0" xfId="0" applyNumberFormat="1" applyFill="1" applyBorder="1" applyAlignment="1" applyProtection="1">
      <alignment horizontal="left"/>
      <protection hidden="1" locked="0"/>
    </xf>
    <xf numFmtId="0" fontId="4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6" xfId="0" applyBorder="1" applyAlignment="1">
      <alignment/>
    </xf>
    <xf numFmtId="165" fontId="0" fillId="36" borderId="24" xfId="0" applyNumberForma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37" borderId="10" xfId="0" applyFill="1" applyBorder="1" applyAlignment="1">
      <alignment/>
    </xf>
    <xf numFmtId="0" fontId="9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21" xfId="0" applyFont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164" fontId="0" fillId="0" borderId="0" xfId="0" applyNumberFormat="1" applyBorder="1" applyAlignment="1">
      <alignment horizontal="center"/>
    </xf>
    <xf numFmtId="49" fontId="9" fillId="0" borderId="21" xfId="0" applyNumberFormat="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1" fontId="0" fillId="0" borderId="0" xfId="0" applyNumberForma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right"/>
      <protection hidden="1"/>
    </xf>
    <xf numFmtId="0" fontId="14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/>
    </xf>
    <xf numFmtId="0" fontId="0" fillId="33" borderId="0" xfId="0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34" borderId="25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30" xfId="0" applyFont="1" applyFill="1" applyBorder="1" applyAlignment="1">
      <alignment/>
    </xf>
    <xf numFmtId="49" fontId="1" fillId="0" borderId="48" xfId="0" applyNumberFormat="1" applyFont="1" applyFill="1" applyBorder="1" applyAlignment="1" applyProtection="1">
      <alignment horizontal="center"/>
      <protection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4" fillId="0" borderId="27" xfId="0" applyFont="1" applyBorder="1" applyAlignment="1" applyProtection="1">
      <alignment horizontal="center"/>
      <protection locked="0"/>
    </xf>
    <xf numFmtId="164" fontId="0" fillId="0" borderId="27" xfId="0" applyNumberFormat="1" applyFill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0" fontId="16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164" fontId="0" fillId="38" borderId="44" xfId="0" applyNumberFormat="1" applyFill="1" applyBorder="1" applyAlignment="1">
      <alignment horizontal="center"/>
    </xf>
    <xf numFmtId="1" fontId="0" fillId="38" borderId="24" xfId="0" applyNumberFormat="1" applyFill="1" applyBorder="1" applyAlignment="1">
      <alignment horizontal="center"/>
    </xf>
    <xf numFmtId="164" fontId="0" fillId="38" borderId="34" xfId="0" applyNumberFormat="1" applyFill="1" applyBorder="1" applyAlignment="1">
      <alignment horizontal="center"/>
    </xf>
    <xf numFmtId="164" fontId="0" fillId="38" borderId="11" xfId="0" applyNumberFormat="1" applyFill="1" applyBorder="1" applyAlignment="1">
      <alignment horizontal="center"/>
    </xf>
    <xf numFmtId="1" fontId="0" fillId="38" borderId="50" xfId="0" applyNumberFormat="1" applyFill="1" applyBorder="1" applyAlignment="1">
      <alignment horizontal="center"/>
    </xf>
    <xf numFmtId="164" fontId="0" fillId="38" borderId="45" xfId="0" applyNumberFormat="1" applyFill="1" applyBorder="1" applyAlignment="1">
      <alignment horizontal="center"/>
    </xf>
    <xf numFmtId="164" fontId="0" fillId="38" borderId="13" xfId="0" applyNumberFormat="1" applyFill="1" applyBorder="1" applyAlignment="1">
      <alignment horizontal="center"/>
    </xf>
    <xf numFmtId="1" fontId="0" fillId="38" borderId="12" xfId="0" applyNumberFormat="1" applyFill="1" applyBorder="1" applyAlignment="1">
      <alignment horizontal="center"/>
    </xf>
    <xf numFmtId="164" fontId="0" fillId="38" borderId="47" xfId="0" applyNumberFormat="1" applyFill="1" applyBorder="1" applyAlignment="1">
      <alignment horizontal="center"/>
    </xf>
    <xf numFmtId="1" fontId="0" fillId="38" borderId="10" xfId="0" applyNumberFormat="1" applyFill="1" applyBorder="1" applyAlignment="1">
      <alignment horizontal="center"/>
    </xf>
    <xf numFmtId="164" fontId="0" fillId="38" borderId="39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49" fontId="0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167" fontId="1" fillId="0" borderId="0" xfId="0" applyNumberFormat="1" applyFont="1" applyFill="1" applyBorder="1" applyAlignment="1" applyProtection="1">
      <alignment/>
      <protection hidden="1"/>
    </xf>
    <xf numFmtId="0" fontId="3" fillId="0" borderId="17" xfId="0" applyFont="1" applyFill="1" applyBorder="1" applyAlignment="1" applyProtection="1">
      <alignment horizontal="left"/>
      <protection hidden="1"/>
    </xf>
    <xf numFmtId="7" fontId="1" fillId="0" borderId="0" xfId="0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4" fillId="0" borderId="17" xfId="0" applyFont="1" applyFill="1" applyBorder="1" applyAlignment="1" applyProtection="1">
      <alignment horizontal="left"/>
      <protection hidden="1"/>
    </xf>
    <xf numFmtId="0" fontId="4" fillId="0" borderId="18" xfId="0" applyFont="1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0" fillId="0" borderId="12" xfId="0" applyFill="1" applyBorder="1" applyAlignment="1" applyProtection="1">
      <alignment/>
      <protection hidden="1"/>
    </xf>
    <xf numFmtId="0" fontId="12" fillId="33" borderId="0" xfId="0" applyFont="1" applyFill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right"/>
      <protection hidden="1"/>
    </xf>
    <xf numFmtId="2" fontId="3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center"/>
      <protection hidden="1"/>
    </xf>
    <xf numFmtId="0" fontId="1" fillId="34" borderId="26" xfId="0" applyFont="1" applyFill="1" applyBorder="1" applyAlignment="1" applyProtection="1">
      <alignment horizontal="center"/>
      <protection hidden="1"/>
    </xf>
    <xf numFmtId="0" fontId="1" fillId="34" borderId="24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49" fontId="1" fillId="34" borderId="18" xfId="0" applyNumberFormat="1" applyFont="1" applyFill="1" applyBorder="1" applyAlignment="1" applyProtection="1">
      <alignment horizontal="center"/>
      <protection hidden="1"/>
    </xf>
    <xf numFmtId="49" fontId="1" fillId="34" borderId="10" xfId="0" applyNumberFormat="1" applyFont="1" applyFill="1" applyBorder="1" applyAlignment="1" applyProtection="1">
      <alignment horizontal="center"/>
      <protection hidden="1"/>
    </xf>
    <xf numFmtId="165" fontId="0" fillId="0" borderId="15" xfId="0" applyNumberFormat="1" applyBorder="1" applyAlignment="1" applyProtection="1">
      <alignment horizontal="center"/>
      <protection hidden="1"/>
    </xf>
    <xf numFmtId="164" fontId="0" fillId="0" borderId="15" xfId="0" applyNumberFormat="1" applyBorder="1" applyAlignment="1" applyProtection="1">
      <alignment horizontal="center"/>
      <protection hidden="1"/>
    </xf>
    <xf numFmtId="165" fontId="0" fillId="33" borderId="15" xfId="0" applyNumberFormat="1" applyFill="1" applyBorder="1" applyAlignment="1" applyProtection="1">
      <alignment horizontal="center"/>
      <protection hidden="1"/>
    </xf>
    <xf numFmtId="164" fontId="0" fillId="33" borderId="15" xfId="0" applyNumberFormat="1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3" fillId="0" borderId="21" xfId="0" applyFont="1" applyFill="1" applyBorder="1" applyAlignment="1" applyProtection="1">
      <alignment/>
      <protection hidden="1"/>
    </xf>
    <xf numFmtId="0" fontId="0" fillId="37" borderId="15" xfId="0" applyNumberFormat="1" applyFill="1" applyBorder="1" applyAlignment="1" applyProtection="1">
      <alignment horizontal="center"/>
      <protection hidden="1" locked="0"/>
    </xf>
    <xf numFmtId="0" fontId="0" fillId="37" borderId="16" xfId="0" applyFill="1" applyBorder="1" applyAlignment="1" applyProtection="1">
      <alignment horizontal="center"/>
      <protection hidden="1" locked="0"/>
    </xf>
    <xf numFmtId="1" fontId="0" fillId="37" borderId="15" xfId="0" applyNumberFormat="1" applyFill="1" applyBorder="1" applyAlignment="1" applyProtection="1">
      <alignment horizontal="center"/>
      <protection hidden="1" locked="0"/>
    </xf>
    <xf numFmtId="0" fontId="0" fillId="37" borderId="15" xfId="0" applyFill="1" applyBorder="1" applyAlignment="1" applyProtection="1">
      <alignment horizontal="center"/>
      <protection hidden="1" locked="0"/>
    </xf>
    <xf numFmtId="1" fontId="0" fillId="37" borderId="16" xfId="0" applyNumberFormat="1" applyFont="1" applyFill="1" applyBorder="1" applyAlignment="1" applyProtection="1">
      <alignment horizontal="center"/>
      <protection hidden="1" locked="0"/>
    </xf>
    <xf numFmtId="2" fontId="0" fillId="0" borderId="15" xfId="0" applyNumberFormat="1" applyFont="1" applyFill="1" applyBorder="1" applyAlignment="1" applyProtection="1">
      <alignment horizontal="center"/>
      <protection hidden="1" locked="0"/>
    </xf>
    <xf numFmtId="1" fontId="0" fillId="0" borderId="15" xfId="0" applyNumberFormat="1" applyFont="1" applyFill="1" applyBorder="1" applyAlignment="1" applyProtection="1">
      <alignment horizontal="center"/>
      <protection hidden="1" locked="0"/>
    </xf>
    <xf numFmtId="164" fontId="0" fillId="0" borderId="15" xfId="0" applyNumberFormat="1" applyFont="1" applyFill="1" applyBorder="1" applyAlignment="1" applyProtection="1">
      <alignment horizontal="center"/>
      <protection hidden="1" locked="0"/>
    </xf>
    <xf numFmtId="49" fontId="0" fillId="33" borderId="15" xfId="0" applyNumberFormat="1" applyFill="1" applyBorder="1" applyAlignment="1" applyProtection="1">
      <alignment horizontal="center"/>
      <protection hidden="1" locked="0"/>
    </xf>
    <xf numFmtId="0" fontId="3" fillId="0" borderId="0" xfId="0" applyFont="1" applyBorder="1" applyAlignment="1" applyProtection="1">
      <alignment horizontal="center"/>
      <protection hidden="1" locked="0"/>
    </xf>
    <xf numFmtId="0" fontId="1" fillId="0" borderId="23" xfId="0" applyFont="1" applyFill="1" applyBorder="1" applyAlignment="1" applyProtection="1">
      <alignment horizontal="right"/>
      <protection hidden="1"/>
    </xf>
    <xf numFmtId="0" fontId="10" fillId="0" borderId="23" xfId="0" applyFont="1" applyFill="1" applyBorder="1" applyAlignment="1" applyProtection="1">
      <alignment horizontal="center"/>
      <protection hidden="1"/>
    </xf>
    <xf numFmtId="0" fontId="22" fillId="0" borderId="23" xfId="0" applyFont="1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23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 horizontal="center"/>
      <protection hidden="1"/>
    </xf>
    <xf numFmtId="167" fontId="5" fillId="0" borderId="23" xfId="0" applyNumberFormat="1" applyFont="1" applyFill="1" applyBorder="1" applyAlignment="1" applyProtection="1">
      <alignment horizontal="center"/>
      <protection hidden="1"/>
    </xf>
    <xf numFmtId="167" fontId="5" fillId="0" borderId="23" xfId="0" applyNumberFormat="1" applyFont="1" applyFill="1" applyBorder="1" applyAlignment="1" applyProtection="1">
      <alignment horizontal="left"/>
      <protection hidden="1"/>
    </xf>
    <xf numFmtId="0" fontId="0" fillId="0" borderId="24" xfId="0" applyFill="1" applyBorder="1" applyAlignment="1" applyProtection="1">
      <alignment/>
      <protection hidden="1"/>
    </xf>
    <xf numFmtId="49" fontId="10" fillId="0" borderId="0" xfId="0" applyNumberFormat="1" applyFont="1" applyFill="1" applyBorder="1" applyAlignment="1" applyProtection="1">
      <alignment horizontal="center"/>
      <protection hidden="1"/>
    </xf>
    <xf numFmtId="49" fontId="2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/>
      <protection hidden="1"/>
    </xf>
    <xf numFmtId="164" fontId="22" fillId="0" borderId="0" xfId="0" applyNumberFormat="1" applyFont="1" applyFill="1" applyBorder="1" applyAlignment="1" applyProtection="1">
      <alignment horizontal="center"/>
      <protection hidden="1"/>
    </xf>
    <xf numFmtId="167" fontId="22" fillId="0" borderId="0" xfId="0" applyNumberFormat="1" applyFont="1" applyFill="1" applyBorder="1" applyAlignment="1" applyProtection="1">
      <alignment horizontal="center"/>
      <protection hidden="1"/>
    </xf>
    <xf numFmtId="7" fontId="22" fillId="0" borderId="0" xfId="0" applyNumberFormat="1" applyFont="1" applyFill="1" applyBorder="1" applyAlignment="1" applyProtection="1">
      <alignment horizontal="center"/>
      <protection hidden="1"/>
    </xf>
    <xf numFmtId="0" fontId="4" fillId="0" borderId="18" xfId="0" applyFont="1" applyFill="1" applyBorder="1" applyAlignment="1" applyProtection="1">
      <alignment horizontal="left"/>
      <protection hidden="1"/>
    </xf>
    <xf numFmtId="0" fontId="4" fillId="0" borderId="21" xfId="0" applyFont="1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21" xfId="0" applyFont="1" applyFill="1" applyBorder="1" applyAlignment="1" applyProtection="1">
      <alignment horizontal="center"/>
      <protection hidden="1"/>
    </xf>
    <xf numFmtId="167" fontId="5" fillId="0" borderId="21" xfId="0" applyNumberFormat="1" applyFont="1" applyFill="1" applyBorder="1" applyAlignment="1" applyProtection="1">
      <alignment horizontal="center"/>
      <protection hidden="1"/>
    </xf>
    <xf numFmtId="49" fontId="24" fillId="0" borderId="21" xfId="0" applyNumberFormat="1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39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9" fillId="0" borderId="17" xfId="0" applyFont="1" applyFill="1" applyBorder="1" applyAlignment="1" applyProtection="1">
      <alignment horizontal="center" wrapText="1"/>
      <protection hidden="1"/>
    </xf>
    <xf numFmtId="0" fontId="19" fillId="0" borderId="0" xfId="0" applyFont="1" applyFill="1" applyBorder="1" applyAlignment="1" applyProtection="1">
      <alignment horizontal="center" wrapText="1"/>
      <protection hidden="1"/>
    </xf>
    <xf numFmtId="0" fontId="12" fillId="33" borderId="0" xfId="0" applyFont="1" applyFill="1" applyBorder="1" applyAlignment="1" applyProtection="1">
      <alignment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1" fillId="0" borderId="21" xfId="0" applyFont="1" applyFill="1" applyBorder="1" applyAlignment="1" applyProtection="1">
      <alignment horizontal="center"/>
      <protection hidden="1"/>
    </xf>
    <xf numFmtId="1" fontId="0" fillId="37" borderId="15" xfId="0" applyNumberFormat="1" applyFont="1" applyFill="1" applyBorder="1" applyAlignment="1" applyProtection="1">
      <alignment horizontal="center"/>
      <protection hidden="1" locked="0"/>
    </xf>
    <xf numFmtId="0" fontId="0" fillId="33" borderId="15" xfId="0" applyNumberFormat="1" applyFill="1" applyBorder="1" applyAlignment="1" applyProtection="1">
      <alignment horizontal="center"/>
      <protection hidden="1" locked="0"/>
    </xf>
    <xf numFmtId="0" fontId="5" fillId="0" borderId="24" xfId="0" applyFont="1" applyFill="1" applyBorder="1" applyAlignment="1" applyProtection="1">
      <alignment horizontal="left"/>
      <protection hidden="1"/>
    </xf>
    <xf numFmtId="0" fontId="7" fillId="0" borderId="12" xfId="0" applyFont="1" applyFill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164" fontId="0" fillId="0" borderId="16" xfId="0" applyNumberFormat="1" applyFont="1" applyFill="1" applyBorder="1" applyAlignment="1" applyProtection="1">
      <alignment horizontal="center"/>
      <protection hidden="1" locked="0"/>
    </xf>
    <xf numFmtId="164" fontId="0" fillId="0" borderId="20" xfId="0" applyNumberFormat="1" applyFont="1" applyFill="1" applyBorder="1" applyAlignment="1" applyProtection="1">
      <alignment horizontal="center"/>
      <protection hidden="1" locked="0"/>
    </xf>
    <xf numFmtId="164" fontId="0" fillId="33" borderId="15" xfId="0" applyNumberFormat="1" applyFill="1" applyBorder="1" applyAlignment="1" applyProtection="1">
      <alignment horizontal="center"/>
      <protection hidden="1" locked="0"/>
    </xf>
    <xf numFmtId="1" fontId="0" fillId="33" borderId="15" xfId="0" applyNumberFormat="1" applyFill="1" applyBorder="1" applyAlignment="1" applyProtection="1">
      <alignment horizontal="center"/>
      <protection hidden="1" locked="0"/>
    </xf>
    <xf numFmtId="164" fontId="0" fillId="33" borderId="20" xfId="0" applyNumberFormat="1" applyFill="1" applyBorder="1" applyAlignment="1" applyProtection="1">
      <alignment horizontal="center"/>
      <protection hidden="1" locked="0"/>
    </xf>
    <xf numFmtId="0" fontId="0" fillId="0" borderId="18" xfId="0" applyFill="1" applyBorder="1" applyAlignment="1" applyProtection="1">
      <alignment horizontal="left"/>
      <protection hidden="1"/>
    </xf>
    <xf numFmtId="17" fontId="0" fillId="0" borderId="0" xfId="0" applyNumberFormat="1" applyAlignment="1">
      <alignment/>
    </xf>
    <xf numFmtId="2" fontId="0" fillId="33" borderId="15" xfId="0" applyNumberFormat="1" applyFont="1" applyFill="1" applyBorder="1" applyAlignment="1" applyProtection="1">
      <alignment horizontal="center"/>
      <protection hidden="1" locked="0"/>
    </xf>
    <xf numFmtId="0" fontId="62" fillId="0" borderId="0" xfId="0" applyFont="1" applyBorder="1" applyAlignment="1" applyProtection="1">
      <alignment/>
      <protection hidden="1" locked="0"/>
    </xf>
    <xf numFmtId="0" fontId="63" fillId="0" borderId="0" xfId="0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63" fillId="0" borderId="0" xfId="0" applyFont="1" applyBorder="1" applyAlignment="1" applyProtection="1">
      <alignment/>
      <protection hidden="1"/>
    </xf>
    <xf numFmtId="0" fontId="63" fillId="0" borderId="21" xfId="0" applyFont="1" applyBorder="1" applyAlignment="1" applyProtection="1">
      <alignment/>
      <protection hidden="1"/>
    </xf>
    <xf numFmtId="0" fontId="0" fillId="40" borderId="14" xfId="0" applyFill="1" applyBorder="1" applyAlignment="1" applyProtection="1">
      <alignment horizontal="center"/>
      <protection locked="0"/>
    </xf>
    <xf numFmtId="0" fontId="0" fillId="40" borderId="11" xfId="0" applyFill="1" applyBorder="1" applyAlignment="1" applyProtection="1">
      <alignment horizontal="center"/>
      <protection locked="0"/>
    </xf>
    <xf numFmtId="0" fontId="0" fillId="40" borderId="13" xfId="0" applyFill="1" applyBorder="1" applyAlignment="1" applyProtection="1">
      <alignment horizontal="center"/>
      <protection locked="0"/>
    </xf>
    <xf numFmtId="0" fontId="0" fillId="40" borderId="29" xfId="0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14" fontId="0" fillId="0" borderId="17" xfId="0" applyNumberFormat="1" applyBorder="1" applyAlignment="1">
      <alignment/>
    </xf>
    <xf numFmtId="164" fontId="0" fillId="37" borderId="15" xfId="0" applyNumberFormat="1" applyFont="1" applyFill="1" applyBorder="1" applyAlignment="1" applyProtection="1">
      <alignment horizontal="center"/>
      <protection hidden="1" locked="0"/>
    </xf>
    <xf numFmtId="1" fontId="0" fillId="0" borderId="15" xfId="0" applyNumberFormat="1" applyBorder="1" applyAlignment="1" applyProtection="1">
      <alignment horizontal="center"/>
      <protection hidden="1"/>
    </xf>
    <xf numFmtId="1" fontId="0" fillId="33" borderId="15" xfId="0" applyNumberFormat="1" applyFill="1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center"/>
      <protection hidden="1" locked="0"/>
    </xf>
    <xf numFmtId="1" fontId="0" fillId="0" borderId="0" xfId="0" applyNumberFormat="1" applyBorder="1" applyAlignment="1" applyProtection="1">
      <alignment/>
      <protection hidden="1"/>
    </xf>
    <xf numFmtId="0" fontId="3" fillId="0" borderId="21" xfId="0" applyFont="1" applyBorder="1" applyAlignment="1" applyProtection="1">
      <alignment horizontal="center"/>
      <protection hidden="1" locked="0"/>
    </xf>
    <xf numFmtId="0" fontId="63" fillId="0" borderId="0" xfId="0" applyFont="1" applyBorder="1" applyAlignment="1" applyProtection="1">
      <alignment/>
      <protection locked="0"/>
    </xf>
    <xf numFmtId="2" fontId="0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Font="1" applyFill="1" applyBorder="1" applyAlignment="1" applyProtection="1">
      <alignment horizontal="center"/>
      <protection hidden="1"/>
    </xf>
    <xf numFmtId="164" fontId="0" fillId="0" borderId="15" xfId="0" applyNumberFormat="1" applyFont="1" applyFill="1" applyBorder="1" applyAlignment="1" applyProtection="1">
      <alignment horizontal="center"/>
      <protection hidden="1"/>
    </xf>
    <xf numFmtId="2" fontId="0" fillId="33" borderId="15" xfId="0" applyNumberFormat="1" applyFont="1" applyFill="1" applyBorder="1" applyAlignment="1" applyProtection="1">
      <alignment horizontal="center"/>
      <protection hidden="1"/>
    </xf>
    <xf numFmtId="2" fontId="0" fillId="33" borderId="16" xfId="0" applyNumberFormat="1" applyFill="1" applyBorder="1" applyAlignment="1" applyProtection="1">
      <alignment horizontal="center"/>
      <protection hidden="1"/>
    </xf>
    <xf numFmtId="1" fontId="0" fillId="33" borderId="16" xfId="0" applyNumberFormat="1" applyFill="1" applyBorder="1" applyAlignment="1" applyProtection="1">
      <alignment horizontal="center"/>
      <protection hidden="1"/>
    </xf>
    <xf numFmtId="164" fontId="0" fillId="33" borderId="16" xfId="0" applyNumberFormat="1" applyFill="1" applyBorder="1" applyAlignment="1" applyProtection="1">
      <alignment horizontal="center"/>
      <protection hidden="1"/>
    </xf>
    <xf numFmtId="164" fontId="0" fillId="33" borderId="15" xfId="0" applyNumberFormat="1" applyFont="1" applyFill="1" applyBorder="1" applyAlignment="1" applyProtection="1">
      <alignment horizontal="center"/>
      <protection hidden="1"/>
    </xf>
    <xf numFmtId="165" fontId="0" fillId="33" borderId="15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Font="1" applyFill="1" applyBorder="1" applyAlignment="1" applyProtection="1">
      <alignment horizontal="center"/>
      <protection hidden="1"/>
    </xf>
    <xf numFmtId="164" fontId="0" fillId="0" borderId="20" xfId="0" applyNumberFormat="1" applyFont="1" applyFill="1" applyBorder="1" applyAlignment="1" applyProtection="1">
      <alignment horizontal="center"/>
      <protection hidden="1"/>
    </xf>
    <xf numFmtId="164" fontId="0" fillId="33" borderId="20" xfId="0" applyNumberFormat="1" applyFill="1" applyBorder="1" applyAlignment="1" applyProtection="1">
      <alignment horizontal="center"/>
      <protection hidden="1"/>
    </xf>
    <xf numFmtId="49" fontId="0" fillId="0" borderId="0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7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1" fillId="0" borderId="19" xfId="0" applyNumberFormat="1" applyFont="1" applyFill="1" applyBorder="1" applyAlignment="1" applyProtection="1">
      <alignment horizontal="center" vertical="center"/>
      <protection hidden="1"/>
    </xf>
    <xf numFmtId="0" fontId="1" fillId="0" borderId="16" xfId="0" applyNumberFormat="1" applyFont="1" applyFill="1" applyBorder="1" applyAlignment="1" applyProtection="1">
      <alignment horizontal="center" vertical="center"/>
      <protection hidden="1"/>
    </xf>
    <xf numFmtId="49" fontId="1" fillId="0" borderId="19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16" xfId="0" applyNumberFormat="1" applyFont="1" applyFill="1" applyBorder="1" applyAlignment="1" applyProtection="1">
      <alignment horizontal="center" vertical="center"/>
      <protection hidden="1" locked="0"/>
    </xf>
    <xf numFmtId="2" fontId="0" fillId="0" borderId="0" xfId="0" applyNumberFormat="1" applyFill="1" applyBorder="1" applyAlignment="1" applyProtection="1">
      <alignment horizontal="center" vertical="center"/>
      <protection locked="0"/>
    </xf>
    <xf numFmtId="0" fontId="23" fillId="34" borderId="26" xfId="0" applyFont="1" applyFill="1" applyBorder="1" applyAlignment="1" applyProtection="1">
      <alignment horizontal="center"/>
      <protection hidden="1"/>
    </xf>
    <xf numFmtId="0" fontId="23" fillId="34" borderId="24" xfId="0" applyFont="1" applyFill="1" applyBorder="1" applyAlignment="1" applyProtection="1">
      <alignment horizontal="center"/>
      <protection hidden="1"/>
    </xf>
    <xf numFmtId="0" fontId="23" fillId="34" borderId="18" xfId="0" applyFont="1" applyFill="1" applyBorder="1" applyAlignment="1" applyProtection="1">
      <alignment horizontal="center"/>
      <protection hidden="1"/>
    </xf>
    <xf numFmtId="0" fontId="23" fillId="34" borderId="10" xfId="0" applyFont="1" applyFill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1" fillId="0" borderId="0" xfId="0" applyFont="1" applyFill="1" applyBorder="1" applyAlignment="1">
      <alignment horizontal="center"/>
    </xf>
    <xf numFmtId="0" fontId="1" fillId="0" borderId="19" xfId="0" applyNumberFormat="1" applyFont="1" applyBorder="1" applyAlignment="1" applyProtection="1">
      <alignment horizontal="center" vertical="center"/>
      <protection hidden="1"/>
    </xf>
    <xf numFmtId="0" fontId="1" fillId="0" borderId="16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</xdr:colOff>
      <xdr:row>71</xdr:row>
      <xdr:rowOff>0</xdr:rowOff>
    </xdr:from>
    <xdr:ext cx="4343400" cy="904875"/>
    <xdr:sp>
      <xdr:nvSpPr>
        <xdr:cNvPr id="1" name="Rectangle 2"/>
        <xdr:cNvSpPr>
          <a:spLocks/>
        </xdr:cNvSpPr>
      </xdr:nvSpPr>
      <xdr:spPr>
        <a:xfrm>
          <a:off x="2114550" y="11515725"/>
          <a:ext cx="43434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</a:rPr>
            <a:t>PRELIMINARY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16</xdr:row>
      <xdr:rowOff>133350</xdr:rowOff>
    </xdr:from>
    <xdr:to>
      <xdr:col>5</xdr:col>
      <xdr:colOff>447675</xdr:colOff>
      <xdr:row>21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724150"/>
          <a:ext cx="2828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314325</xdr:colOff>
      <xdr:row>15</xdr:row>
      <xdr:rowOff>19050</xdr:rowOff>
    </xdr:from>
    <xdr:to>
      <xdr:col>16</xdr:col>
      <xdr:colOff>438150</xdr:colOff>
      <xdr:row>17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2581275"/>
          <a:ext cx="2266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17</xdr:col>
      <xdr:colOff>276225</xdr:colOff>
      <xdr:row>21</xdr:row>
      <xdr:rowOff>28575</xdr:rowOff>
    </xdr:from>
    <xdr:ext cx="3095625" cy="1533525"/>
    <xdr:sp>
      <xdr:nvSpPr>
        <xdr:cNvPr id="2" name="Rectangle 1"/>
        <xdr:cNvSpPr>
          <a:spLocks/>
        </xdr:cNvSpPr>
      </xdr:nvSpPr>
      <xdr:spPr>
        <a:xfrm flipH="1">
          <a:off x="9172575" y="3619500"/>
          <a:ext cx="30956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495300</xdr:colOff>
      <xdr:row>16</xdr:row>
      <xdr:rowOff>19050</xdr:rowOff>
    </xdr:from>
    <xdr:to>
      <xdr:col>17</xdr:col>
      <xdr:colOff>485775</xdr:colOff>
      <xdr:row>18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2828925"/>
          <a:ext cx="2276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66675</xdr:colOff>
      <xdr:row>29</xdr:row>
      <xdr:rowOff>38100</xdr:rowOff>
    </xdr:from>
    <xdr:ext cx="3962400" cy="828675"/>
    <xdr:sp>
      <xdr:nvSpPr>
        <xdr:cNvPr id="2" name="Rectangle 1"/>
        <xdr:cNvSpPr>
          <a:spLocks/>
        </xdr:cNvSpPr>
      </xdr:nvSpPr>
      <xdr:spPr>
        <a:xfrm>
          <a:off x="3581400" y="5057775"/>
          <a:ext cx="39624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314325</xdr:colOff>
      <xdr:row>13</xdr:row>
      <xdr:rowOff>95250</xdr:rowOff>
    </xdr:from>
    <xdr:to>
      <xdr:col>15</xdr:col>
      <xdr:colOff>219075</xdr:colOff>
      <xdr:row>16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2333625"/>
          <a:ext cx="2276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523875</xdr:colOff>
      <xdr:row>27</xdr:row>
      <xdr:rowOff>9525</xdr:rowOff>
    </xdr:from>
    <xdr:ext cx="171450" cy="923925"/>
    <xdr:sp>
      <xdr:nvSpPr>
        <xdr:cNvPr id="2" name="Rectangle 1"/>
        <xdr:cNvSpPr>
          <a:spLocks/>
        </xdr:cNvSpPr>
      </xdr:nvSpPr>
      <xdr:spPr>
        <a:xfrm>
          <a:off x="4933950" y="4676775"/>
          <a:ext cx="1714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504825</xdr:colOff>
      <xdr:row>13</xdr:row>
      <xdr:rowOff>47625</xdr:rowOff>
    </xdr:from>
    <xdr:to>
      <xdr:col>15</xdr:col>
      <xdr:colOff>323850</xdr:colOff>
      <xdr:row>15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2305050"/>
          <a:ext cx="2257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57150</xdr:colOff>
      <xdr:row>26</xdr:row>
      <xdr:rowOff>19050</xdr:rowOff>
    </xdr:from>
    <xdr:ext cx="180975" cy="914400"/>
    <xdr:sp>
      <xdr:nvSpPr>
        <xdr:cNvPr id="2" name="Rectangle 1"/>
        <xdr:cNvSpPr>
          <a:spLocks/>
        </xdr:cNvSpPr>
      </xdr:nvSpPr>
      <xdr:spPr>
        <a:xfrm>
          <a:off x="4972050" y="452437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M590"/>
  <sheetViews>
    <sheetView zoomScalePageLayoutView="0" workbookViewId="0" topLeftCell="A1">
      <pane ySplit="492" topLeftCell="A1" activePane="bottomLeft" state="split"/>
      <selection pane="topLeft" activeCell="H1" activeCellId="1" sqref="F1:F16384 H1:H16384"/>
      <selection pane="bottomLeft" activeCell="E30" sqref="E30"/>
    </sheetView>
  </sheetViews>
  <sheetFormatPr defaultColWidth="9.140625" defaultRowHeight="12.75"/>
  <cols>
    <col min="7" max="7" width="12.00390625" style="0" customWidth="1"/>
    <col min="8" max="8" width="11.28125" style="0" customWidth="1"/>
  </cols>
  <sheetData>
    <row r="1" spans="1:39" ht="12.7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</row>
    <row r="6" spans="6:13" ht="12.75">
      <c r="F6" s="403" t="s">
        <v>50</v>
      </c>
      <c r="G6" s="403"/>
      <c r="H6" s="403"/>
      <c r="I6" s="403"/>
      <c r="J6" s="403"/>
      <c r="K6" s="403"/>
      <c r="L6" s="403"/>
      <c r="M6" s="403"/>
    </row>
    <row r="7" spans="6:13" ht="12.75">
      <c r="F7" s="403"/>
      <c r="G7" s="403"/>
      <c r="H7" s="403"/>
      <c r="I7" s="403"/>
      <c r="J7" s="403"/>
      <c r="K7" s="403"/>
      <c r="L7" s="403"/>
      <c r="M7" s="403"/>
    </row>
    <row r="9" spans="6:13" ht="12.75">
      <c r="F9" t="s">
        <v>51</v>
      </c>
      <c r="M9" s="82"/>
    </row>
    <row r="10" spans="2:3" ht="12.75">
      <c r="B10" s="58" t="s">
        <v>53</v>
      </c>
      <c r="C10" t="s">
        <v>54</v>
      </c>
    </row>
    <row r="11" spans="2:6" ht="12.75">
      <c r="B11" s="58" t="s">
        <v>55</v>
      </c>
      <c r="C11" s="1"/>
      <c r="D11" s="13" t="s">
        <v>30</v>
      </c>
      <c r="F11" t="s">
        <v>52</v>
      </c>
    </row>
    <row r="12" spans="2:4" ht="12.75">
      <c r="B12" s="58" t="s">
        <v>56</v>
      </c>
      <c r="C12" s="1"/>
      <c r="D12" s="13" t="s">
        <v>35</v>
      </c>
    </row>
    <row r="13" spans="2:4" ht="12.75">
      <c r="B13" s="58" t="s">
        <v>57</v>
      </c>
      <c r="C13" s="1">
        <v>6</v>
      </c>
      <c r="D13" s="13" t="s">
        <v>30</v>
      </c>
    </row>
    <row r="14" spans="2:17" ht="12.75">
      <c r="B14" s="58" t="s">
        <v>58</v>
      </c>
      <c r="C14" s="1">
        <v>15</v>
      </c>
      <c r="D14" s="13" t="s">
        <v>35</v>
      </c>
      <c r="G14" s="412" t="s">
        <v>31</v>
      </c>
      <c r="H14" s="413"/>
      <c r="I14" s="413"/>
      <c r="J14" s="413"/>
      <c r="K14" s="413"/>
      <c r="L14" s="413"/>
      <c r="M14" s="413"/>
      <c r="N14" s="413"/>
      <c r="O14" s="413"/>
      <c r="P14" s="413"/>
      <c r="Q14" s="414"/>
    </row>
    <row r="15" spans="2:17" ht="12.75">
      <c r="B15" s="58" t="s">
        <v>59</v>
      </c>
      <c r="C15" s="1">
        <v>16</v>
      </c>
      <c r="D15" s="13"/>
      <c r="F15" s="83" t="s">
        <v>30</v>
      </c>
      <c r="G15" s="84">
        <v>100</v>
      </c>
      <c r="H15" s="84">
        <v>120</v>
      </c>
      <c r="I15" s="84">
        <v>140</v>
      </c>
      <c r="J15" s="84">
        <v>160</v>
      </c>
      <c r="K15" s="84">
        <v>180</v>
      </c>
      <c r="L15" s="84">
        <v>200</v>
      </c>
      <c r="M15" s="84">
        <v>220</v>
      </c>
      <c r="N15" s="84">
        <v>240</v>
      </c>
      <c r="O15" s="84">
        <v>260</v>
      </c>
      <c r="P15" s="84">
        <v>280</v>
      </c>
      <c r="Q15" s="85">
        <v>300</v>
      </c>
    </row>
    <row r="16" spans="2:17" ht="12.75">
      <c r="B16" s="58" t="s">
        <v>60</v>
      </c>
      <c r="C16" s="1">
        <v>23</v>
      </c>
      <c r="D16" s="13"/>
      <c r="F16" s="86">
        <v>30</v>
      </c>
      <c r="G16" s="87">
        <v>0.518</v>
      </c>
      <c r="H16" s="87">
        <v>0.666</v>
      </c>
      <c r="I16" s="87">
        <v>0.814</v>
      </c>
      <c r="J16" s="87">
        <v>0.963</v>
      </c>
      <c r="K16" s="87">
        <v>1.12</v>
      </c>
      <c r="L16" s="87">
        <v>1.26</v>
      </c>
      <c r="M16" s="87">
        <v>1.408</v>
      </c>
      <c r="N16" s="87">
        <v>1.555</v>
      </c>
      <c r="O16" s="87">
        <v>1.702</v>
      </c>
      <c r="P16" s="87">
        <v>1.85</v>
      </c>
      <c r="Q16" s="87">
        <v>1.997</v>
      </c>
    </row>
    <row r="17" spans="2:17" ht="12.75">
      <c r="B17" s="58" t="s">
        <v>61</v>
      </c>
      <c r="C17" s="1">
        <v>7</v>
      </c>
      <c r="D17" s="13"/>
      <c r="F17" s="86">
        <v>40</v>
      </c>
      <c r="G17" s="87">
        <v>0.439</v>
      </c>
      <c r="H17" s="87">
        <v>0.585</v>
      </c>
      <c r="I17" s="87">
        <v>0.731</v>
      </c>
      <c r="J17" s="87">
        <v>0.878</v>
      </c>
      <c r="K17" s="87">
        <v>1.025</v>
      </c>
      <c r="L17" s="87">
        <v>1.172</v>
      </c>
      <c r="M17" s="87">
        <v>1.317</v>
      </c>
      <c r="N17" s="87">
        <v>1.464</v>
      </c>
      <c r="O17" s="87">
        <v>1.609</v>
      </c>
      <c r="P17" s="87">
        <v>1.755</v>
      </c>
      <c r="Q17" s="87">
        <v>1.908</v>
      </c>
    </row>
    <row r="18" spans="2:17" ht="12.75">
      <c r="B18" s="58" t="s">
        <v>62</v>
      </c>
      <c r="C18" s="1">
        <v>17</v>
      </c>
      <c r="D18" s="13"/>
      <c r="F18" s="86">
        <v>50</v>
      </c>
      <c r="G18" s="87">
        <v>0.361</v>
      </c>
      <c r="H18" s="87">
        <v>0.506</v>
      </c>
      <c r="I18" s="87">
        <v>0.651</v>
      </c>
      <c r="J18" s="87">
        <v>0.796</v>
      </c>
      <c r="K18" s="87">
        <v>0.941</v>
      </c>
      <c r="L18" s="87">
        <v>1.085</v>
      </c>
      <c r="M18" s="87">
        <v>1.231</v>
      </c>
      <c r="N18" s="87">
        <v>1.375</v>
      </c>
      <c r="O18" s="87">
        <v>1.518</v>
      </c>
      <c r="P18" s="87">
        <v>1.663</v>
      </c>
      <c r="Q18" s="87">
        <v>1.824</v>
      </c>
    </row>
    <row r="19" spans="2:17" ht="12.75">
      <c r="B19" s="58" t="s">
        <v>63</v>
      </c>
      <c r="C19" s="1">
        <v>1</v>
      </c>
      <c r="D19" s="13" t="s">
        <v>64</v>
      </c>
      <c r="F19" s="86">
        <v>60</v>
      </c>
      <c r="G19" s="87">
        <v>0.286</v>
      </c>
      <c r="H19" s="87">
        <v>0.429</v>
      </c>
      <c r="I19" s="87">
        <v>0.571</v>
      </c>
      <c r="J19" s="87">
        <v>0.715</v>
      </c>
      <c r="K19" s="87">
        <v>0.857</v>
      </c>
      <c r="L19" s="87">
        <v>1</v>
      </c>
      <c r="M19" s="87">
        <v>1.143</v>
      </c>
      <c r="N19" s="87">
        <v>1.286</v>
      </c>
      <c r="O19" s="87">
        <v>1.429</v>
      </c>
      <c r="P19" s="87">
        <v>1.571</v>
      </c>
      <c r="Q19" s="87">
        <v>1.717</v>
      </c>
    </row>
    <row r="20" spans="2:17" ht="12.75">
      <c r="B20" s="58"/>
      <c r="C20" s="1"/>
      <c r="D20" s="13"/>
      <c r="F20" s="86">
        <v>70</v>
      </c>
      <c r="G20" s="87">
        <v>0.212</v>
      </c>
      <c r="H20" s="87">
        <v>0.353</v>
      </c>
      <c r="I20" s="87">
        <v>0.494</v>
      </c>
      <c r="J20" s="87">
        <v>0.636</v>
      </c>
      <c r="K20" s="87">
        <v>0.777</v>
      </c>
      <c r="L20" s="87">
        <v>0.918</v>
      </c>
      <c r="M20" s="87">
        <v>1.06</v>
      </c>
      <c r="N20" s="87">
        <v>1.201</v>
      </c>
      <c r="O20" s="87">
        <v>1.342</v>
      </c>
      <c r="P20" s="87">
        <v>1.483</v>
      </c>
      <c r="Q20" s="87">
        <v>1.63</v>
      </c>
    </row>
    <row r="21" spans="2:17" ht="12.75">
      <c r="B21" s="58"/>
      <c r="C21" s="1"/>
      <c r="D21" s="13"/>
      <c r="F21" s="86">
        <v>80</v>
      </c>
      <c r="G21" s="87">
        <v>0.14</v>
      </c>
      <c r="H21" s="87">
        <v>0.279</v>
      </c>
      <c r="I21" s="87">
        <v>0.419</v>
      </c>
      <c r="J21" s="87">
        <v>0.558</v>
      </c>
      <c r="K21" s="87">
        <v>0.698</v>
      </c>
      <c r="L21" s="87">
        <v>0.837</v>
      </c>
      <c r="M21" s="87">
        <v>0.977</v>
      </c>
      <c r="N21" s="87">
        <v>1.117</v>
      </c>
      <c r="O21" s="87">
        <v>1.257</v>
      </c>
      <c r="P21" s="87">
        <v>1.397</v>
      </c>
      <c r="Q21" s="87">
        <v>1.545</v>
      </c>
    </row>
    <row r="22" spans="6:17" ht="12.75">
      <c r="F22" s="86" t="s">
        <v>291</v>
      </c>
      <c r="G22" s="87">
        <v>0.11836331548188202</v>
      </c>
      <c r="H22" s="87">
        <v>0.279</v>
      </c>
      <c r="I22" s="87">
        <v>0.354244494192204</v>
      </c>
      <c r="J22" s="87">
        <v>0.483</v>
      </c>
      <c r="K22" s="87">
        <v>0.621</v>
      </c>
      <c r="L22" s="87">
        <v>0.759</v>
      </c>
      <c r="M22" s="87">
        <v>0.897</v>
      </c>
      <c r="N22" s="87">
        <v>1.035</v>
      </c>
      <c r="O22" s="87">
        <v>1.173</v>
      </c>
      <c r="P22" s="87">
        <v>1.311</v>
      </c>
      <c r="Q22" s="87">
        <v>1.462</v>
      </c>
    </row>
    <row r="23" spans="6:17" ht="12.75">
      <c r="F23" s="88">
        <v>100</v>
      </c>
      <c r="G23" s="87">
        <v>0</v>
      </c>
      <c r="H23" s="87">
        <v>0.137</v>
      </c>
      <c r="I23" s="87">
        <v>0.273</v>
      </c>
      <c r="J23" s="87">
        <v>0.409</v>
      </c>
      <c r="K23" s="87">
        <v>0.546</v>
      </c>
      <c r="L23" s="87">
        <v>0.682</v>
      </c>
      <c r="M23" s="87">
        <v>0.818</v>
      </c>
      <c r="N23" s="87">
        <v>0.955</v>
      </c>
      <c r="O23" s="87">
        <v>1.094</v>
      </c>
      <c r="P23" s="87">
        <v>1.23</v>
      </c>
      <c r="Q23" s="87">
        <v>1.371</v>
      </c>
    </row>
    <row r="24" ht="13.5" thickBot="1"/>
    <row r="25" spans="7:8" ht="12.75">
      <c r="G25" s="179" t="s">
        <v>30</v>
      </c>
      <c r="H25" s="180">
        <v>70</v>
      </c>
    </row>
    <row r="26" spans="5:10" ht="13.5" thickBot="1">
      <c r="E26" t="s">
        <v>209</v>
      </c>
      <c r="G26" s="181" t="s">
        <v>65</v>
      </c>
      <c r="H26" s="182">
        <f>1.465494+0.000005*H25-0.000377*H25^2+0.000006*H25^3-0.000000029640152*H25^4</f>
        <v>0.9648839504800004</v>
      </c>
      <c r="J26" t="s">
        <v>181</v>
      </c>
    </row>
    <row r="30" spans="6:13" ht="12.75" customHeight="1">
      <c r="F30" s="81"/>
      <c r="G30" s="217"/>
      <c r="H30" s="217"/>
      <c r="I30" s="217"/>
      <c r="J30" s="217"/>
      <c r="K30" s="217"/>
      <c r="L30" s="217"/>
      <c r="M30" s="217"/>
    </row>
    <row r="31" spans="6:13" ht="12.75" customHeight="1">
      <c r="F31" s="217"/>
      <c r="G31" s="217"/>
      <c r="H31" s="217"/>
      <c r="I31" s="217"/>
      <c r="J31" s="217"/>
      <c r="K31" s="217"/>
      <c r="L31" s="217"/>
      <c r="M31" s="217"/>
    </row>
    <row r="33" spans="6:12" ht="12.75">
      <c r="F33" s="402" t="s">
        <v>151</v>
      </c>
      <c r="G33" s="402"/>
      <c r="H33" s="402"/>
      <c r="I33" s="402"/>
      <c r="J33" s="402"/>
      <c r="K33" s="402"/>
      <c r="L33" s="402"/>
    </row>
    <row r="34" spans="2:12" ht="12.75">
      <c r="B34" s="53"/>
      <c r="F34" s="402"/>
      <c r="G34" s="402"/>
      <c r="H34" s="402"/>
      <c r="I34" s="402"/>
      <c r="J34" s="402"/>
      <c r="K34" s="402"/>
      <c r="L34" s="402"/>
    </row>
    <row r="35" ht="12.75">
      <c r="N35" s="53"/>
    </row>
    <row r="36" ht="12.75">
      <c r="F36" t="s">
        <v>150</v>
      </c>
    </row>
    <row r="37" spans="2:13" ht="12.75">
      <c r="B37" s="58" t="s">
        <v>53</v>
      </c>
      <c r="C37" t="s">
        <v>54</v>
      </c>
      <c r="E37" s="2"/>
      <c r="M37" s="9"/>
    </row>
    <row r="38" spans="2:13" ht="12.75">
      <c r="B38" s="58" t="s">
        <v>103</v>
      </c>
      <c r="C38">
        <v>6</v>
      </c>
      <c r="E38" s="2"/>
      <c r="F38" s="9" t="s">
        <v>7</v>
      </c>
      <c r="G38" s="33" t="s">
        <v>2</v>
      </c>
      <c r="H38" s="33" t="s">
        <v>25</v>
      </c>
      <c r="I38" s="33" t="s">
        <v>32</v>
      </c>
      <c r="M38" s="2"/>
    </row>
    <row r="39" spans="2:13" ht="12.75">
      <c r="B39" s="58" t="s">
        <v>153</v>
      </c>
      <c r="C39">
        <v>7</v>
      </c>
      <c r="E39" s="2"/>
      <c r="F39" s="215">
        <v>5</v>
      </c>
      <c r="G39" s="134">
        <v>5</v>
      </c>
      <c r="H39" s="134">
        <v>1.25</v>
      </c>
      <c r="I39" s="134">
        <v>10</v>
      </c>
      <c r="M39" s="2"/>
    </row>
    <row r="40" spans="2:13" ht="12.75">
      <c r="B40" s="58" t="s">
        <v>154</v>
      </c>
      <c r="C40">
        <v>8</v>
      </c>
      <c r="E40" s="2"/>
      <c r="F40" s="215">
        <v>10</v>
      </c>
      <c r="G40" s="134">
        <v>2.3</v>
      </c>
      <c r="H40" s="134">
        <v>1.15</v>
      </c>
      <c r="I40" s="134">
        <v>5</v>
      </c>
      <c r="M40" s="2"/>
    </row>
    <row r="41" spans="2:13" ht="12.75">
      <c r="B41" s="58" t="s">
        <v>155</v>
      </c>
      <c r="C41">
        <v>9</v>
      </c>
      <c r="E41" s="2"/>
      <c r="F41" s="215">
        <v>15</v>
      </c>
      <c r="G41" s="134">
        <v>1.44</v>
      </c>
      <c r="H41" s="134">
        <v>1.08</v>
      </c>
      <c r="I41" s="134">
        <v>2</v>
      </c>
      <c r="M41" s="2"/>
    </row>
    <row r="42" spans="2:13" ht="12.75">
      <c r="B42" s="58" t="s">
        <v>59</v>
      </c>
      <c r="C42">
        <v>39</v>
      </c>
      <c r="E42" s="2"/>
      <c r="F42" s="215">
        <v>20</v>
      </c>
      <c r="G42" s="134">
        <v>1</v>
      </c>
      <c r="H42" s="134">
        <v>1</v>
      </c>
      <c r="I42" s="134">
        <v>1</v>
      </c>
      <c r="M42" s="2"/>
    </row>
    <row r="43" spans="2:13" ht="12.75">
      <c r="B43" s="58" t="s">
        <v>60</v>
      </c>
      <c r="C43">
        <v>47</v>
      </c>
      <c r="E43" s="2"/>
      <c r="F43" s="215">
        <v>25</v>
      </c>
      <c r="G43" s="134">
        <v>0.74</v>
      </c>
      <c r="H43" s="134">
        <v>0.94</v>
      </c>
      <c r="I43" s="134">
        <v>0.6</v>
      </c>
      <c r="M43" s="2"/>
    </row>
    <row r="44" spans="2:13" ht="12.75">
      <c r="B44" s="58" t="s">
        <v>113</v>
      </c>
      <c r="C44" s="118">
        <v>1</v>
      </c>
      <c r="D44" s="13" t="s">
        <v>2</v>
      </c>
      <c r="E44" s="2"/>
      <c r="F44" s="215">
        <v>30</v>
      </c>
      <c r="G44" s="134">
        <v>0.59</v>
      </c>
      <c r="H44" s="134">
        <v>0.9</v>
      </c>
      <c r="I44" s="134">
        <v>0.4</v>
      </c>
      <c r="M44" s="2"/>
    </row>
    <row r="45" spans="2:13" ht="12.75">
      <c r="B45" s="58" t="s">
        <v>113</v>
      </c>
      <c r="C45" s="118">
        <v>1</v>
      </c>
      <c r="D45" s="13" t="s">
        <v>25</v>
      </c>
      <c r="E45" s="2"/>
      <c r="F45" s="215">
        <v>40</v>
      </c>
      <c r="G45" s="134">
        <v>0.4</v>
      </c>
      <c r="H45" s="134">
        <v>0.83</v>
      </c>
      <c r="I45" s="134">
        <v>0.2</v>
      </c>
      <c r="M45" s="2"/>
    </row>
    <row r="46" spans="2:13" ht="12.75">
      <c r="B46" s="58" t="s">
        <v>113</v>
      </c>
      <c r="C46" s="118">
        <v>1</v>
      </c>
      <c r="D46" s="13" t="s">
        <v>32</v>
      </c>
      <c r="E46" s="2"/>
      <c r="F46" s="215">
        <v>50</v>
      </c>
      <c r="G46" s="134">
        <v>0.3</v>
      </c>
      <c r="H46" s="134">
        <v>0.76</v>
      </c>
      <c r="I46" s="134">
        <v>0.13</v>
      </c>
      <c r="M46" s="2"/>
    </row>
    <row r="47" spans="5:13" ht="12.75">
      <c r="E47" s="2"/>
      <c r="F47" s="215">
        <v>60</v>
      </c>
      <c r="G47" s="134">
        <v>0.24</v>
      </c>
      <c r="H47" s="134">
        <v>0.72</v>
      </c>
      <c r="I47" s="134">
        <v>0.07</v>
      </c>
      <c r="M47" s="2"/>
    </row>
    <row r="55" spans="6:16" ht="12.75">
      <c r="F55" s="403" t="s">
        <v>68</v>
      </c>
      <c r="G55" s="403"/>
      <c r="H55" s="403"/>
      <c r="I55" s="403"/>
      <c r="J55" s="403"/>
      <c r="K55" s="403"/>
      <c r="L55" s="403"/>
      <c r="M55" s="403"/>
      <c r="N55" s="403"/>
      <c r="O55" s="403"/>
      <c r="P55" s="403"/>
    </row>
    <row r="56" spans="6:16" ht="12.75"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</row>
    <row r="58" spans="2:6" ht="12.75">
      <c r="B58" s="58" t="s">
        <v>53</v>
      </c>
      <c r="C58" t="s">
        <v>54</v>
      </c>
      <c r="F58" t="s">
        <v>51</v>
      </c>
    </row>
    <row r="59" spans="2:4" ht="12.75">
      <c r="B59" s="58" t="s">
        <v>66</v>
      </c>
      <c r="C59" s="1"/>
      <c r="D59" s="13" t="s">
        <v>34</v>
      </c>
    </row>
    <row r="60" spans="2:7" ht="12.75">
      <c r="B60" s="58" t="s">
        <v>57</v>
      </c>
      <c r="C60" s="1">
        <v>6</v>
      </c>
      <c r="D60" s="13" t="s">
        <v>34</v>
      </c>
      <c r="F60" s="4" t="s">
        <v>34</v>
      </c>
      <c r="G60" s="4" t="s">
        <v>65</v>
      </c>
    </row>
    <row r="61" spans="2:7" ht="12.75">
      <c r="B61" s="58" t="s">
        <v>59</v>
      </c>
      <c r="C61" s="1">
        <v>61</v>
      </c>
      <c r="D61" s="13"/>
      <c r="F61" s="94">
        <v>0</v>
      </c>
      <c r="G61" s="91">
        <v>1</v>
      </c>
    </row>
    <row r="62" spans="2:7" ht="12.75">
      <c r="B62" s="58" t="s">
        <v>60</v>
      </c>
      <c r="C62" s="1">
        <v>64</v>
      </c>
      <c r="D62" s="13"/>
      <c r="F62" s="94">
        <v>0.05</v>
      </c>
      <c r="G62" s="91">
        <v>0.92</v>
      </c>
    </row>
    <row r="63" spans="2:7" ht="12.75">
      <c r="B63" s="58" t="s">
        <v>67</v>
      </c>
      <c r="C63" s="1">
        <v>7</v>
      </c>
      <c r="D63" s="13"/>
      <c r="F63" s="94">
        <v>0.1</v>
      </c>
      <c r="G63" s="91">
        <v>0.82</v>
      </c>
    </row>
    <row r="64" spans="2:7" ht="12.75">
      <c r="B64" s="58" t="s">
        <v>63</v>
      </c>
      <c r="C64" s="1">
        <v>1</v>
      </c>
      <c r="D64" s="13" t="s">
        <v>64</v>
      </c>
      <c r="F64" s="95">
        <v>0.125</v>
      </c>
      <c r="G64" s="93">
        <v>0.79</v>
      </c>
    </row>
    <row r="70" spans="6:13" ht="12.75">
      <c r="F70" s="403" t="s">
        <v>69</v>
      </c>
      <c r="G70" s="403"/>
      <c r="H70" s="403"/>
      <c r="I70" s="403"/>
      <c r="J70" s="403"/>
      <c r="K70" s="403"/>
      <c r="L70" s="403"/>
      <c r="M70" s="403"/>
    </row>
    <row r="71" spans="6:13" ht="12.75">
      <c r="F71" s="403"/>
      <c r="G71" s="403"/>
      <c r="H71" s="403"/>
      <c r="I71" s="403"/>
      <c r="J71" s="403"/>
      <c r="K71" s="403"/>
      <c r="L71" s="403"/>
      <c r="M71" s="403"/>
    </row>
    <row r="73" spans="6:13" ht="12.75">
      <c r="F73" t="s">
        <v>238</v>
      </c>
      <c r="M73" t="s">
        <v>70</v>
      </c>
    </row>
    <row r="74" spans="13:14" ht="12.75">
      <c r="M74" s="364" t="s">
        <v>240</v>
      </c>
      <c r="N74" s="364"/>
    </row>
    <row r="75" spans="6:13" ht="12.75">
      <c r="F75" t="s">
        <v>239</v>
      </c>
      <c r="M75" t="s">
        <v>71</v>
      </c>
    </row>
    <row r="77" spans="2:14" ht="12.75">
      <c r="B77" s="58" t="s">
        <v>53</v>
      </c>
      <c r="C77" t="s">
        <v>54</v>
      </c>
      <c r="F77" s="1" t="s">
        <v>41</v>
      </c>
      <c r="G77" s="1" t="s">
        <v>72</v>
      </c>
      <c r="M77" s="1" t="s">
        <v>41</v>
      </c>
      <c r="N77" s="1" t="s">
        <v>72</v>
      </c>
    </row>
    <row r="78" spans="2:14" ht="12.75">
      <c r="B78" s="58" t="s">
        <v>66</v>
      </c>
      <c r="C78" s="1"/>
      <c r="D78" s="13" t="s">
        <v>41</v>
      </c>
      <c r="F78" s="1">
        <v>0</v>
      </c>
      <c r="G78" s="132">
        <v>1</v>
      </c>
      <c r="M78" s="1">
        <v>0</v>
      </c>
      <c r="N78" s="96">
        <v>1</v>
      </c>
    </row>
    <row r="79" spans="2:14" ht="12.75">
      <c r="B79" s="58" t="s">
        <v>57</v>
      </c>
      <c r="C79" s="1">
        <v>6</v>
      </c>
      <c r="D79" s="13" t="s">
        <v>41</v>
      </c>
      <c r="F79" s="1">
        <v>1000</v>
      </c>
      <c r="G79" s="132">
        <v>0.9709374370232526</v>
      </c>
      <c r="M79" s="1">
        <v>1000</v>
      </c>
      <c r="N79" s="96">
        <v>0.975</v>
      </c>
    </row>
    <row r="80" spans="2:14" ht="12.75">
      <c r="B80" s="58" t="s">
        <v>59</v>
      </c>
      <c r="C80" s="1">
        <v>79</v>
      </c>
      <c r="D80" s="13"/>
      <c r="F80" s="1">
        <v>2000</v>
      </c>
      <c r="G80" s="132">
        <v>0.942522328606772</v>
      </c>
      <c r="M80" s="1">
        <v>2000</v>
      </c>
      <c r="N80" s="96">
        <v>0.95</v>
      </c>
    </row>
    <row r="81" spans="2:14" ht="12.75">
      <c r="B81" s="58" t="s">
        <v>60</v>
      </c>
      <c r="C81" s="1">
        <v>88</v>
      </c>
      <c r="D81" s="13"/>
      <c r="F81" s="1">
        <v>3000</v>
      </c>
      <c r="G81" s="132">
        <v>0.9147503869720137</v>
      </c>
      <c r="M81" s="1">
        <v>3000</v>
      </c>
      <c r="N81" s="96">
        <v>0.925</v>
      </c>
    </row>
    <row r="82" spans="2:14" ht="12.75">
      <c r="B82" s="58" t="s">
        <v>67</v>
      </c>
      <c r="C82" s="1">
        <v>7</v>
      </c>
      <c r="D82" s="13"/>
      <c r="F82" s="1">
        <v>4000</v>
      </c>
      <c r="G82" s="132">
        <v>0.8876130365618876</v>
      </c>
      <c r="M82" s="1">
        <v>4000</v>
      </c>
      <c r="N82" s="96">
        <v>0.905</v>
      </c>
    </row>
    <row r="83" spans="2:14" ht="12.75">
      <c r="B83" s="58" t="s">
        <v>63</v>
      </c>
      <c r="C83" s="1">
        <v>0.9993525454397333</v>
      </c>
      <c r="D83" s="13" t="s">
        <v>64</v>
      </c>
      <c r="F83" s="1">
        <v>5000</v>
      </c>
      <c r="G83" s="132">
        <v>0.86108883848367</v>
      </c>
      <c r="M83" s="1">
        <v>5000</v>
      </c>
      <c r="N83" s="96">
        <v>0.88</v>
      </c>
    </row>
    <row r="84" spans="6:14" ht="12.75">
      <c r="F84" s="1">
        <v>6000</v>
      </c>
      <c r="G84" s="132">
        <v>0.8351777927373606</v>
      </c>
      <c r="M84" s="1">
        <v>6000</v>
      </c>
      <c r="N84" s="96">
        <v>0.86</v>
      </c>
    </row>
    <row r="85" spans="6:14" ht="12.75">
      <c r="F85" s="1">
        <v>7000</v>
      </c>
      <c r="G85" s="132">
        <v>0.8098713237658701</v>
      </c>
      <c r="M85" s="1">
        <v>7000</v>
      </c>
      <c r="N85" s="96">
        <v>0.84</v>
      </c>
    </row>
    <row r="86" spans="6:14" ht="12.75">
      <c r="F86" s="1">
        <v>8000</v>
      </c>
      <c r="G86" s="132">
        <v>0.7851522804550191</v>
      </c>
      <c r="M86" s="1">
        <v>8000</v>
      </c>
      <c r="N86" s="96">
        <v>0.82</v>
      </c>
    </row>
    <row r="87" spans="6:14" ht="12.75">
      <c r="F87" s="1">
        <v>9000</v>
      </c>
      <c r="G87" s="132">
        <v>0.7610163750262625</v>
      </c>
      <c r="M87" s="1">
        <v>9000</v>
      </c>
      <c r="N87" s="96">
        <v>0.8</v>
      </c>
    </row>
    <row r="88" spans="6:14" ht="12.75">
      <c r="F88" s="1">
        <v>10000</v>
      </c>
      <c r="G88" s="132">
        <v>0.7374507441439665</v>
      </c>
      <c r="M88" s="1">
        <v>10000</v>
      </c>
      <c r="N88" s="96">
        <v>0.78</v>
      </c>
    </row>
    <row r="95" spans="6:21" ht="12.75">
      <c r="F95" s="403" t="s">
        <v>73</v>
      </c>
      <c r="G95" s="403"/>
      <c r="H95" s="403"/>
      <c r="I95" s="403"/>
      <c r="J95" s="403"/>
      <c r="K95" s="403"/>
      <c r="L95" s="403"/>
      <c r="M95" s="403"/>
      <c r="N95" s="403"/>
      <c r="O95" s="403"/>
      <c r="P95" s="403"/>
      <c r="Q95" s="403"/>
      <c r="R95" s="403"/>
      <c r="S95" s="403"/>
      <c r="T95" s="403"/>
      <c r="U95" s="403"/>
    </row>
    <row r="96" spans="6:21" ht="12.75">
      <c r="F96" s="403"/>
      <c r="G96" s="403"/>
      <c r="H96" s="403"/>
      <c r="I96" s="403"/>
      <c r="J96" s="403"/>
      <c r="K96" s="403"/>
      <c r="L96" s="403"/>
      <c r="M96" s="403"/>
      <c r="N96" s="403"/>
      <c r="O96" s="403"/>
      <c r="P96" s="403"/>
      <c r="Q96" s="403"/>
      <c r="R96" s="403"/>
      <c r="S96" s="403"/>
      <c r="T96" s="403"/>
      <c r="U96" s="403"/>
    </row>
    <row r="98" spans="6:14" ht="12.75">
      <c r="F98" t="s">
        <v>51</v>
      </c>
      <c r="N98" s="53" t="s">
        <v>74</v>
      </c>
    </row>
    <row r="100" spans="6:11" ht="12.75">
      <c r="F100" t="s">
        <v>213</v>
      </c>
      <c r="K100" s="223" t="s">
        <v>214</v>
      </c>
    </row>
    <row r="102" spans="2:23" ht="12.75">
      <c r="B102" s="58" t="s">
        <v>53</v>
      </c>
      <c r="C102" t="s">
        <v>54</v>
      </c>
      <c r="F102" s="2"/>
      <c r="G102" s="407" t="s">
        <v>75</v>
      </c>
      <c r="H102" s="408"/>
      <c r="I102" s="408"/>
      <c r="J102" s="408"/>
      <c r="K102" s="408"/>
      <c r="L102" s="408"/>
      <c r="M102" s="408"/>
      <c r="N102" s="408"/>
      <c r="O102" s="408"/>
      <c r="P102" s="408"/>
      <c r="Q102" s="408"/>
      <c r="R102" s="408"/>
      <c r="S102" s="408"/>
      <c r="T102" s="408"/>
      <c r="U102" s="408"/>
      <c r="V102" s="408"/>
      <c r="W102" s="409"/>
    </row>
    <row r="103" spans="2:23" ht="12.75">
      <c r="B103" s="58" t="s">
        <v>55</v>
      </c>
      <c r="C103" s="1"/>
      <c r="D103" s="13" t="s">
        <v>30</v>
      </c>
      <c r="F103" s="99" t="s">
        <v>30</v>
      </c>
      <c r="G103" s="100">
        <v>0</v>
      </c>
      <c r="H103" s="101">
        <v>2</v>
      </c>
      <c r="I103" s="101">
        <v>5</v>
      </c>
      <c r="J103" s="101">
        <v>10</v>
      </c>
      <c r="K103" s="101">
        <v>15</v>
      </c>
      <c r="L103" s="101">
        <v>20</v>
      </c>
      <c r="M103" s="101">
        <v>30</v>
      </c>
      <c r="N103" s="101">
        <v>40</v>
      </c>
      <c r="O103" s="101">
        <v>50</v>
      </c>
      <c r="P103" s="101">
        <v>60</v>
      </c>
      <c r="Q103" s="102">
        <v>70</v>
      </c>
      <c r="R103" s="102">
        <v>75</v>
      </c>
      <c r="S103" s="102">
        <v>80</v>
      </c>
      <c r="T103" s="102">
        <v>90</v>
      </c>
      <c r="U103" s="102">
        <v>100</v>
      </c>
      <c r="V103" s="102">
        <v>125</v>
      </c>
      <c r="W103" s="103">
        <v>150</v>
      </c>
    </row>
    <row r="104" spans="2:23" ht="12.75">
      <c r="B104" s="58" t="s">
        <v>56</v>
      </c>
      <c r="C104" s="1"/>
      <c r="D104" s="13" t="s">
        <v>33</v>
      </c>
      <c r="F104" s="104">
        <v>-10</v>
      </c>
      <c r="G104" s="87">
        <v>1.54</v>
      </c>
      <c r="H104" s="87">
        <v>1.585</v>
      </c>
      <c r="I104" s="87">
        <v>1.64</v>
      </c>
      <c r="J104" s="87">
        <v>1.73</v>
      </c>
      <c r="K104" s="87">
        <v>1.799</v>
      </c>
      <c r="L104" s="87">
        <v>1.861</v>
      </c>
      <c r="M104" s="87">
        <v>1.966</v>
      </c>
      <c r="N104" s="87">
        <v>2.058</v>
      </c>
      <c r="O104" s="87">
        <v>2.134</v>
      </c>
      <c r="P104" s="87">
        <v>2.196</v>
      </c>
      <c r="Q104" s="87">
        <v>2.256</v>
      </c>
      <c r="R104" s="87">
        <v>2.283</v>
      </c>
      <c r="S104" s="87">
        <v>2.312</v>
      </c>
      <c r="T104" s="87">
        <v>2.361</v>
      </c>
      <c r="U104" s="87">
        <v>2.409</v>
      </c>
      <c r="V104" s="87">
        <v>2.52</v>
      </c>
      <c r="W104" s="87">
        <v>2.605</v>
      </c>
    </row>
    <row r="105" spans="2:23" ht="12.75">
      <c r="B105" s="58" t="s">
        <v>57</v>
      </c>
      <c r="C105" s="1">
        <v>6</v>
      </c>
      <c r="D105" s="13" t="s">
        <v>30</v>
      </c>
      <c r="F105" s="104">
        <v>0</v>
      </c>
      <c r="G105" s="87">
        <v>1.45</v>
      </c>
      <c r="H105" s="87">
        <v>1.495</v>
      </c>
      <c r="I105" s="87">
        <v>1.55</v>
      </c>
      <c r="J105" s="87">
        <v>1.639</v>
      </c>
      <c r="K105" s="87">
        <v>1.708</v>
      </c>
      <c r="L105" s="87">
        <v>1.769</v>
      </c>
      <c r="M105" s="87">
        <v>1.871</v>
      </c>
      <c r="N105" s="87">
        <v>1.959</v>
      </c>
      <c r="O105" s="87">
        <v>2.035</v>
      </c>
      <c r="P105" s="87">
        <v>2.094</v>
      </c>
      <c r="Q105" s="87">
        <v>2.157</v>
      </c>
      <c r="R105" s="87">
        <v>2.183</v>
      </c>
      <c r="S105" s="87">
        <v>2.211</v>
      </c>
      <c r="T105" s="87">
        <v>2.258</v>
      </c>
      <c r="U105" s="87">
        <v>2.307</v>
      </c>
      <c r="V105" s="87">
        <v>2.42</v>
      </c>
      <c r="W105" s="87">
        <v>2.5</v>
      </c>
    </row>
    <row r="106" spans="2:23" ht="12.75">
      <c r="B106" s="58" t="s">
        <v>58</v>
      </c>
      <c r="C106" s="1">
        <v>103</v>
      </c>
      <c r="D106" s="13" t="s">
        <v>33</v>
      </c>
      <c r="F106" s="104">
        <v>10</v>
      </c>
      <c r="G106" s="87">
        <v>1.37</v>
      </c>
      <c r="H106" s="87">
        <v>1.405</v>
      </c>
      <c r="I106" s="87">
        <v>1.456</v>
      </c>
      <c r="J106" s="87">
        <v>1.545</v>
      </c>
      <c r="K106" s="87">
        <v>1.614</v>
      </c>
      <c r="L106" s="87">
        <v>1.675</v>
      </c>
      <c r="M106" s="87">
        <v>1.775</v>
      </c>
      <c r="N106" s="87">
        <v>1.862</v>
      </c>
      <c r="O106" s="87">
        <v>1.936</v>
      </c>
      <c r="P106" s="87">
        <v>1.997</v>
      </c>
      <c r="Q106" s="87">
        <v>2.057</v>
      </c>
      <c r="R106" s="87">
        <v>2.085</v>
      </c>
      <c r="S106" s="87">
        <v>2.112</v>
      </c>
      <c r="T106" s="87">
        <v>2.159</v>
      </c>
      <c r="U106" s="87">
        <v>2.204</v>
      </c>
      <c r="V106" s="87">
        <v>2.31</v>
      </c>
      <c r="W106" s="87">
        <v>2.394</v>
      </c>
    </row>
    <row r="107" spans="2:23" ht="12.75">
      <c r="B107" s="58" t="s">
        <v>59</v>
      </c>
      <c r="C107" s="1">
        <v>108</v>
      </c>
      <c r="D107" s="13"/>
      <c r="F107" s="104">
        <v>20</v>
      </c>
      <c r="G107" s="87">
        <v>1.27</v>
      </c>
      <c r="H107" s="87">
        <v>1.32</v>
      </c>
      <c r="I107" s="87">
        <v>1.37</v>
      </c>
      <c r="J107" s="87">
        <v>1.46</v>
      </c>
      <c r="K107" s="87">
        <v>1.525</v>
      </c>
      <c r="L107" s="87">
        <v>1.584</v>
      </c>
      <c r="M107" s="87">
        <v>1.684</v>
      </c>
      <c r="N107" s="87">
        <v>1.771</v>
      </c>
      <c r="O107" s="87">
        <v>1.845</v>
      </c>
      <c r="P107" s="87">
        <v>1.902</v>
      </c>
      <c r="Q107" s="87">
        <v>1.961</v>
      </c>
      <c r="R107" s="87">
        <v>1.99</v>
      </c>
      <c r="S107" s="87">
        <v>2.015</v>
      </c>
      <c r="T107" s="87">
        <v>2.063</v>
      </c>
      <c r="U107" s="87">
        <v>2.108</v>
      </c>
      <c r="V107" s="87">
        <v>2.205</v>
      </c>
      <c r="W107" s="87">
        <v>2.315</v>
      </c>
    </row>
    <row r="108" spans="2:23" ht="12.75">
      <c r="B108" s="58" t="s">
        <v>60</v>
      </c>
      <c r="C108" s="1">
        <v>115</v>
      </c>
      <c r="D108" s="13"/>
      <c r="F108" s="104">
        <v>30</v>
      </c>
      <c r="G108" s="259">
        <v>1.19</v>
      </c>
      <c r="H108" s="259">
        <v>1.24</v>
      </c>
      <c r="I108" s="259">
        <v>1.29</v>
      </c>
      <c r="J108" s="259">
        <v>1.38</v>
      </c>
      <c r="K108" s="259">
        <v>1.44</v>
      </c>
      <c r="L108" s="259">
        <v>1.5</v>
      </c>
      <c r="M108" s="259">
        <v>1.6</v>
      </c>
      <c r="N108" s="259">
        <v>1.68</v>
      </c>
      <c r="O108" s="259">
        <v>1.76</v>
      </c>
      <c r="P108" s="87">
        <v>1.811</v>
      </c>
      <c r="Q108" s="87">
        <v>1.872</v>
      </c>
      <c r="R108" s="87">
        <v>1.896</v>
      </c>
      <c r="S108" s="87">
        <v>1.925</v>
      </c>
      <c r="T108" s="87">
        <v>1.968</v>
      </c>
      <c r="U108" s="87">
        <v>2.015</v>
      </c>
      <c r="V108" s="87">
        <v>2.115</v>
      </c>
      <c r="W108" s="87">
        <v>2.221</v>
      </c>
    </row>
    <row r="109" spans="2:23" ht="12.75">
      <c r="B109" s="58" t="s">
        <v>61</v>
      </c>
      <c r="C109" s="1">
        <v>7</v>
      </c>
      <c r="D109" s="13"/>
      <c r="F109" s="104">
        <v>40</v>
      </c>
      <c r="G109" s="259">
        <v>1.11</v>
      </c>
      <c r="H109" s="259">
        <v>1.16</v>
      </c>
      <c r="I109" s="259">
        <v>1.21</v>
      </c>
      <c r="J109" s="259">
        <v>1.29</v>
      </c>
      <c r="K109" s="259">
        <v>1.34</v>
      </c>
      <c r="L109" s="259">
        <v>1.42</v>
      </c>
      <c r="M109" s="259">
        <v>1.51</v>
      </c>
      <c r="N109" s="259">
        <v>1.6</v>
      </c>
      <c r="O109" s="259">
        <v>1.67</v>
      </c>
      <c r="P109" s="87">
        <v>1.725</v>
      </c>
      <c r="Q109" s="87">
        <v>1.782</v>
      </c>
      <c r="R109" s="87">
        <v>1.808</v>
      </c>
      <c r="S109" s="87">
        <v>1.836</v>
      </c>
      <c r="T109" s="87">
        <v>1.88</v>
      </c>
      <c r="U109" s="87">
        <v>1.927</v>
      </c>
      <c r="V109" s="87">
        <v>2.022</v>
      </c>
      <c r="W109" s="87">
        <v>2.105</v>
      </c>
    </row>
    <row r="110" spans="2:23" ht="12.75">
      <c r="B110" s="58" t="s">
        <v>62</v>
      </c>
      <c r="C110" s="1">
        <v>23</v>
      </c>
      <c r="D110" s="13"/>
      <c r="F110" s="104">
        <v>50</v>
      </c>
      <c r="G110" s="259">
        <v>1.03</v>
      </c>
      <c r="H110" s="259">
        <v>1.08</v>
      </c>
      <c r="I110" s="259">
        <v>1.13</v>
      </c>
      <c r="J110" s="259">
        <v>1.21</v>
      </c>
      <c r="K110" s="259">
        <v>1.28</v>
      </c>
      <c r="L110" s="259">
        <v>1.33</v>
      </c>
      <c r="M110" s="259">
        <v>1.43</v>
      </c>
      <c r="N110" s="259">
        <v>1.51</v>
      </c>
      <c r="O110" s="259">
        <v>1.58</v>
      </c>
      <c r="P110" s="87">
        <v>1.64</v>
      </c>
      <c r="Q110" s="87">
        <v>1.696</v>
      </c>
      <c r="R110" s="87">
        <v>1.721</v>
      </c>
      <c r="S110" s="87">
        <v>1.748</v>
      </c>
      <c r="T110" s="87">
        <v>1.792</v>
      </c>
      <c r="U110" s="87">
        <v>1.836</v>
      </c>
      <c r="V110" s="87">
        <v>1.94</v>
      </c>
      <c r="W110" s="87">
        <v>2.015</v>
      </c>
    </row>
    <row r="111" spans="2:23" ht="12.75">
      <c r="B111" s="58" t="s">
        <v>63</v>
      </c>
      <c r="C111" s="1">
        <v>1.0253261026409874</v>
      </c>
      <c r="D111" s="13" t="s">
        <v>64</v>
      </c>
      <c r="F111" s="104">
        <v>60</v>
      </c>
      <c r="G111" s="259">
        <v>0.96</v>
      </c>
      <c r="H111" s="259">
        <v>1</v>
      </c>
      <c r="I111" s="259">
        <v>1.05</v>
      </c>
      <c r="J111" s="259">
        <v>1.13</v>
      </c>
      <c r="K111" s="259">
        <v>1.19</v>
      </c>
      <c r="L111" s="259">
        <v>1.25</v>
      </c>
      <c r="M111" s="259">
        <v>1.35</v>
      </c>
      <c r="N111" s="259">
        <v>1.43</v>
      </c>
      <c r="O111" s="259">
        <v>1.5</v>
      </c>
      <c r="P111" s="87">
        <v>1.555</v>
      </c>
      <c r="Q111" s="87">
        <v>1.61</v>
      </c>
      <c r="R111" s="87">
        <v>1.635</v>
      </c>
      <c r="S111" s="87">
        <v>1.66</v>
      </c>
      <c r="T111" s="87">
        <v>1.705</v>
      </c>
      <c r="U111" s="87">
        <v>1.749</v>
      </c>
      <c r="V111" s="87">
        <v>1.845</v>
      </c>
      <c r="W111" s="87">
        <v>1.925</v>
      </c>
    </row>
    <row r="112" spans="6:23" ht="12.75">
      <c r="F112" s="104">
        <v>70</v>
      </c>
      <c r="G112" s="259">
        <v>0.88</v>
      </c>
      <c r="H112" s="259">
        <v>0.93</v>
      </c>
      <c r="I112" s="259">
        <v>0.97</v>
      </c>
      <c r="J112" s="259">
        <v>1.06</v>
      </c>
      <c r="K112" s="259">
        <v>1.12</v>
      </c>
      <c r="L112" s="259">
        <v>1.17</v>
      </c>
      <c r="M112" s="259">
        <v>1.27</v>
      </c>
      <c r="N112" s="259">
        <v>1.35</v>
      </c>
      <c r="O112" s="259">
        <v>1.42</v>
      </c>
      <c r="P112" s="87">
        <v>1.472</v>
      </c>
      <c r="Q112" s="87">
        <v>1.527</v>
      </c>
      <c r="R112" s="87">
        <v>1.552</v>
      </c>
      <c r="S112" s="87">
        <v>1.577</v>
      </c>
      <c r="T112" s="87">
        <v>1.621</v>
      </c>
      <c r="U112" s="87">
        <v>1.663</v>
      </c>
      <c r="V112" s="87">
        <v>1.76</v>
      </c>
      <c r="W112" s="87">
        <v>1.837</v>
      </c>
    </row>
    <row r="113" spans="6:23" ht="12.75">
      <c r="F113" s="104">
        <v>80</v>
      </c>
      <c r="G113" s="259">
        <v>0.81</v>
      </c>
      <c r="H113" s="259">
        <v>0.85</v>
      </c>
      <c r="I113" s="259">
        <v>0.9</v>
      </c>
      <c r="J113" s="259">
        <v>0.98</v>
      </c>
      <c r="K113" s="259">
        <v>1.04</v>
      </c>
      <c r="L113" s="259">
        <v>1.1</v>
      </c>
      <c r="M113" s="259">
        <v>1.19</v>
      </c>
      <c r="N113" s="259">
        <v>1.27</v>
      </c>
      <c r="O113" s="259">
        <v>1.34</v>
      </c>
      <c r="P113" s="87">
        <v>1.393</v>
      </c>
      <c r="Q113" s="87">
        <v>1.447</v>
      </c>
      <c r="R113" s="87">
        <v>1.472</v>
      </c>
      <c r="S113" s="87">
        <v>1.497</v>
      </c>
      <c r="T113" s="87">
        <v>1.541</v>
      </c>
      <c r="U113" s="87">
        <v>1.581</v>
      </c>
      <c r="V113" s="87">
        <v>1.675</v>
      </c>
      <c r="W113" s="87">
        <v>1.755</v>
      </c>
    </row>
    <row r="114" spans="6:23" ht="12.75">
      <c r="F114" s="104">
        <v>90</v>
      </c>
      <c r="G114" s="259">
        <v>0.74</v>
      </c>
      <c r="H114" s="259">
        <v>0.78</v>
      </c>
      <c r="I114" s="259">
        <v>0.83</v>
      </c>
      <c r="J114" s="259">
        <v>0.91</v>
      </c>
      <c r="K114" s="259">
        <v>0.97</v>
      </c>
      <c r="L114" s="259">
        <v>1.02</v>
      </c>
      <c r="M114" s="259">
        <v>1.12</v>
      </c>
      <c r="N114" s="259">
        <v>1.19</v>
      </c>
      <c r="O114" s="259">
        <v>1.26</v>
      </c>
      <c r="P114" s="87">
        <v>1.314</v>
      </c>
      <c r="Q114" s="87">
        <v>1.368</v>
      </c>
      <c r="R114" s="87">
        <v>1.392</v>
      </c>
      <c r="S114" s="87">
        <v>1.418</v>
      </c>
      <c r="T114" s="87">
        <v>1.461</v>
      </c>
      <c r="U114" s="87">
        <v>1.502</v>
      </c>
      <c r="V114" s="87">
        <v>1.6</v>
      </c>
      <c r="W114" s="87">
        <v>1.672</v>
      </c>
    </row>
    <row r="115" spans="6:23" ht="12.75">
      <c r="F115" s="105">
        <v>100</v>
      </c>
      <c r="G115" s="259">
        <v>0.67</v>
      </c>
      <c r="H115" s="259">
        <v>0.71</v>
      </c>
      <c r="I115" s="259">
        <v>0.76</v>
      </c>
      <c r="J115" s="259">
        <v>0.84</v>
      </c>
      <c r="K115" s="259">
        <v>0.9</v>
      </c>
      <c r="L115" s="259">
        <v>0.95</v>
      </c>
      <c r="M115" s="259">
        <v>1.04</v>
      </c>
      <c r="N115" s="259">
        <v>1.12</v>
      </c>
      <c r="O115" s="259">
        <v>1.19</v>
      </c>
      <c r="P115" s="87">
        <v>1.239</v>
      </c>
      <c r="Q115" s="87">
        <v>1.293</v>
      </c>
      <c r="R115" s="87">
        <v>1.316</v>
      </c>
      <c r="S115" s="87">
        <v>1.342</v>
      </c>
      <c r="T115" s="87">
        <v>1.383</v>
      </c>
      <c r="U115" s="87">
        <v>1.424</v>
      </c>
      <c r="V115" s="87">
        <v>1.514</v>
      </c>
      <c r="W115" s="87">
        <v>1.592</v>
      </c>
    </row>
    <row r="125" spans="6:21" ht="12.75">
      <c r="F125" s="403" t="s">
        <v>76</v>
      </c>
      <c r="G125" s="403"/>
      <c r="H125" s="403"/>
      <c r="I125" s="403"/>
      <c r="J125" s="403"/>
      <c r="K125" s="403"/>
      <c r="L125" s="403"/>
      <c r="M125" s="403"/>
      <c r="N125" s="403"/>
      <c r="O125" s="403"/>
      <c r="P125" s="403"/>
      <c r="Q125" s="403"/>
      <c r="R125" s="403"/>
      <c r="S125" s="403"/>
      <c r="T125" s="403"/>
      <c r="U125" s="403"/>
    </row>
    <row r="126" spans="6:21" ht="12.75">
      <c r="F126" s="403"/>
      <c r="G126" s="403"/>
      <c r="H126" s="403"/>
      <c r="I126" s="403"/>
      <c r="J126" s="403"/>
      <c r="K126" s="403"/>
      <c r="L126" s="403"/>
      <c r="M126" s="403"/>
      <c r="N126" s="403"/>
      <c r="O126" s="403"/>
      <c r="P126" s="403"/>
      <c r="Q126" s="403"/>
      <c r="R126" s="403"/>
      <c r="S126" s="403"/>
      <c r="T126" s="403"/>
      <c r="U126" s="403"/>
    </row>
    <row r="128" ht="12.75">
      <c r="F128" t="s">
        <v>78</v>
      </c>
    </row>
    <row r="130" spans="2:7" ht="12.75">
      <c r="B130" s="58" t="s">
        <v>53</v>
      </c>
      <c r="C130" t="s">
        <v>54</v>
      </c>
      <c r="F130" s="1" t="s">
        <v>30</v>
      </c>
      <c r="G130" t="s">
        <v>77</v>
      </c>
    </row>
    <row r="131" spans="2:7" ht="12.75">
      <c r="B131" s="58" t="s">
        <v>66</v>
      </c>
      <c r="C131" s="1"/>
      <c r="D131" s="13" t="s">
        <v>30</v>
      </c>
      <c r="F131" s="106">
        <v>-10</v>
      </c>
      <c r="G131" s="87">
        <v>1.155</v>
      </c>
    </row>
    <row r="132" spans="2:7" ht="12.75">
      <c r="B132" s="58" t="s">
        <v>57</v>
      </c>
      <c r="C132" s="1">
        <v>6</v>
      </c>
      <c r="D132" s="13" t="s">
        <v>30</v>
      </c>
      <c r="F132" s="106">
        <v>0</v>
      </c>
      <c r="G132" s="87">
        <v>1.13</v>
      </c>
    </row>
    <row r="133" spans="2:7" ht="12.75">
      <c r="B133" s="58" t="s">
        <v>59</v>
      </c>
      <c r="C133" s="1">
        <v>135</v>
      </c>
      <c r="D133" s="13"/>
      <c r="F133" s="106">
        <v>10</v>
      </c>
      <c r="G133" s="87">
        <v>1.105</v>
      </c>
    </row>
    <row r="134" spans="2:7" ht="12.75">
      <c r="B134" s="58" t="s">
        <v>60</v>
      </c>
      <c r="C134" s="1">
        <v>142</v>
      </c>
      <c r="D134" s="13"/>
      <c r="F134" s="106">
        <v>20</v>
      </c>
      <c r="G134" s="87">
        <v>1.082</v>
      </c>
    </row>
    <row r="135" spans="2:9" ht="12.75">
      <c r="B135" s="58" t="s">
        <v>67</v>
      </c>
      <c r="C135" s="1">
        <v>7</v>
      </c>
      <c r="D135" s="13"/>
      <c r="F135" s="106">
        <v>30</v>
      </c>
      <c r="G135" s="87">
        <v>1.06</v>
      </c>
      <c r="I135" s="59"/>
    </row>
    <row r="136" spans="2:7" ht="12.75">
      <c r="B136" s="58" t="s">
        <v>63</v>
      </c>
      <c r="C136" s="1">
        <v>1</v>
      </c>
      <c r="D136" s="13" t="s">
        <v>64</v>
      </c>
      <c r="F136" s="106">
        <v>40</v>
      </c>
      <c r="G136" s="87">
        <v>1.04</v>
      </c>
    </row>
    <row r="137" spans="6:7" ht="12.75">
      <c r="F137" s="106">
        <v>50</v>
      </c>
      <c r="G137" s="87">
        <v>1.02</v>
      </c>
    </row>
    <row r="138" spans="6:7" ht="12.75">
      <c r="F138" s="106">
        <v>60</v>
      </c>
      <c r="G138" s="87">
        <v>1</v>
      </c>
    </row>
    <row r="139" spans="6:7" ht="12.75">
      <c r="F139" s="106">
        <v>70</v>
      </c>
      <c r="G139" s="87">
        <v>0.982</v>
      </c>
    </row>
    <row r="140" spans="6:7" ht="12.75">
      <c r="F140" s="106">
        <v>80</v>
      </c>
      <c r="G140" s="87">
        <v>0.964</v>
      </c>
    </row>
    <row r="141" spans="6:7" ht="12.75">
      <c r="F141" s="106">
        <v>90</v>
      </c>
      <c r="G141" s="87">
        <v>0.945</v>
      </c>
    </row>
    <row r="142" spans="6:7" ht="12.75">
      <c r="F142" s="106">
        <v>100</v>
      </c>
      <c r="G142" s="87">
        <v>0.93</v>
      </c>
    </row>
    <row r="149" ht="12.75" customHeight="1"/>
    <row r="150" spans="6:21" ht="12.75" customHeight="1">
      <c r="F150" s="403" t="s">
        <v>80</v>
      </c>
      <c r="G150" s="403"/>
      <c r="H150" s="403"/>
      <c r="I150" s="403"/>
      <c r="J150" s="403"/>
      <c r="K150" s="403"/>
      <c r="L150" s="403"/>
      <c r="M150" s="403"/>
      <c r="N150" s="403"/>
      <c r="O150" s="403"/>
      <c r="P150" s="403"/>
      <c r="Q150" s="403"/>
      <c r="R150" s="403"/>
      <c r="S150" s="403"/>
      <c r="T150" s="403"/>
      <c r="U150" s="403"/>
    </row>
    <row r="151" spans="6:21" ht="12.75">
      <c r="F151" s="403"/>
      <c r="G151" s="403"/>
      <c r="H151" s="403"/>
      <c r="I151" s="403"/>
      <c r="J151" s="403"/>
      <c r="K151" s="403"/>
      <c r="L151" s="403"/>
      <c r="M151" s="403"/>
      <c r="N151" s="403"/>
      <c r="O151" s="403"/>
      <c r="P151" s="403"/>
      <c r="Q151" s="403"/>
      <c r="R151" s="403"/>
      <c r="S151" s="403"/>
      <c r="T151" s="403"/>
      <c r="U151" s="403"/>
    </row>
    <row r="153" ht="12.75">
      <c r="F153" t="s">
        <v>81</v>
      </c>
    </row>
    <row r="156" spans="2:7" ht="12.75">
      <c r="B156" s="58" t="s">
        <v>53</v>
      </c>
      <c r="C156" t="s">
        <v>54</v>
      </c>
      <c r="F156" s="1" t="s">
        <v>39</v>
      </c>
      <c r="G156" s="1" t="s">
        <v>79</v>
      </c>
    </row>
    <row r="157" spans="2:7" ht="12.75">
      <c r="B157" s="58" t="s">
        <v>66</v>
      </c>
      <c r="C157" s="1"/>
      <c r="D157" s="13" t="s">
        <v>33</v>
      </c>
      <c r="F157" s="50">
        <v>0</v>
      </c>
      <c r="G157" s="108">
        <v>970</v>
      </c>
    </row>
    <row r="158" spans="2:7" ht="12.75">
      <c r="B158" s="58" t="s">
        <v>57</v>
      </c>
      <c r="C158" s="1">
        <v>6</v>
      </c>
      <c r="D158" s="13" t="s">
        <v>33</v>
      </c>
      <c r="F158" s="50">
        <v>2</v>
      </c>
      <c r="G158" s="108">
        <v>966.3</v>
      </c>
    </row>
    <row r="159" spans="2:7" ht="12.75">
      <c r="B159" s="58" t="s">
        <v>59</v>
      </c>
      <c r="C159" s="1">
        <v>157</v>
      </c>
      <c r="D159" s="13"/>
      <c r="F159" s="50">
        <v>5</v>
      </c>
      <c r="G159" s="108">
        <v>960.7</v>
      </c>
    </row>
    <row r="160" spans="2:7" ht="12.75">
      <c r="B160" s="58" t="s">
        <v>60</v>
      </c>
      <c r="C160" s="1">
        <v>173</v>
      </c>
      <c r="D160" s="13"/>
      <c r="F160" s="50">
        <v>10</v>
      </c>
      <c r="G160" s="108">
        <v>952.4</v>
      </c>
    </row>
    <row r="161" spans="2:7" ht="12.75">
      <c r="B161" s="58" t="s">
        <v>67</v>
      </c>
      <c r="C161" s="1">
        <v>7</v>
      </c>
      <c r="D161" s="13"/>
      <c r="F161" s="50">
        <v>15</v>
      </c>
      <c r="G161" s="108">
        <v>945.5</v>
      </c>
    </row>
    <row r="162" spans="2:7" ht="12.75">
      <c r="B162" s="58" t="s">
        <v>63</v>
      </c>
      <c r="C162" s="1">
        <v>965.9722765042094</v>
      </c>
      <c r="D162" s="13" t="s">
        <v>82</v>
      </c>
      <c r="F162" s="50">
        <v>20</v>
      </c>
      <c r="G162" s="108">
        <v>939.3</v>
      </c>
    </row>
    <row r="163" spans="6:7" ht="12.75">
      <c r="F163" s="50">
        <v>30</v>
      </c>
      <c r="G163" s="108">
        <v>928.5</v>
      </c>
    </row>
    <row r="164" spans="6:7" ht="12.75">
      <c r="F164" s="50">
        <v>40</v>
      </c>
      <c r="G164" s="108">
        <v>918.3</v>
      </c>
    </row>
    <row r="165" spans="6:7" ht="12.75">
      <c r="F165" s="50">
        <v>50</v>
      </c>
      <c r="G165" s="108">
        <v>911.2</v>
      </c>
    </row>
    <row r="166" spans="6:7" ht="12.75">
      <c r="F166" s="50">
        <v>60</v>
      </c>
      <c r="G166" s="108">
        <v>903.9</v>
      </c>
    </row>
    <row r="167" spans="6:7" ht="12.75">
      <c r="F167" s="41">
        <v>70</v>
      </c>
      <c r="G167" s="108">
        <v>897.3</v>
      </c>
    </row>
    <row r="168" spans="6:7" ht="12.75">
      <c r="F168" s="41">
        <v>75</v>
      </c>
      <c r="G168" s="108">
        <v>893.8</v>
      </c>
    </row>
    <row r="169" spans="6:7" ht="12.75">
      <c r="F169" s="41">
        <v>80</v>
      </c>
      <c r="G169" s="108">
        <v>891.1</v>
      </c>
    </row>
    <row r="170" spans="6:7" ht="12.75">
      <c r="F170" s="41">
        <v>90</v>
      </c>
      <c r="G170" s="108">
        <v>885.4</v>
      </c>
    </row>
    <row r="171" spans="6:7" ht="12.75">
      <c r="F171" s="41">
        <v>100</v>
      </c>
      <c r="G171" s="108">
        <v>880</v>
      </c>
    </row>
    <row r="172" spans="6:7" ht="12.75">
      <c r="F172" s="41">
        <v>125</v>
      </c>
      <c r="G172" s="108">
        <v>867.8</v>
      </c>
    </row>
    <row r="173" spans="6:7" ht="12.75">
      <c r="F173" s="41">
        <v>150</v>
      </c>
      <c r="G173" s="108">
        <v>856.9</v>
      </c>
    </row>
    <row r="180" spans="6:21" ht="16.5" customHeight="1">
      <c r="F180" s="403" t="s">
        <v>83</v>
      </c>
      <c r="G180" s="403"/>
      <c r="H180" s="403"/>
      <c r="I180" s="403"/>
      <c r="J180" s="403"/>
      <c r="K180" s="403"/>
      <c r="L180" s="403"/>
      <c r="M180" s="403"/>
      <c r="N180" s="403"/>
      <c r="O180" s="403"/>
      <c r="P180" s="81"/>
      <c r="Q180" s="81"/>
      <c r="R180" s="81"/>
      <c r="S180" s="81"/>
      <c r="T180" s="81"/>
      <c r="U180" s="81"/>
    </row>
    <row r="181" spans="6:21" ht="15" customHeight="1">
      <c r="F181" s="403"/>
      <c r="G181" s="403"/>
      <c r="H181" s="403"/>
      <c r="I181" s="403"/>
      <c r="J181" s="403"/>
      <c r="K181" s="403"/>
      <c r="L181" s="403"/>
      <c r="M181" s="403"/>
      <c r="N181" s="403"/>
      <c r="O181" s="403"/>
      <c r="P181" s="81"/>
      <c r="Q181" s="81"/>
      <c r="R181" s="81"/>
      <c r="S181" s="81"/>
      <c r="T181" s="81"/>
      <c r="U181" s="81"/>
    </row>
    <row r="183" ht="12.75">
      <c r="F183" t="s">
        <v>51</v>
      </c>
    </row>
    <row r="185" spans="2:3" ht="12.75">
      <c r="B185" s="58" t="s">
        <v>53</v>
      </c>
      <c r="C185" t="s">
        <v>54</v>
      </c>
    </row>
    <row r="186" spans="2:22" ht="12.75">
      <c r="B186" s="58" t="s">
        <v>66</v>
      </c>
      <c r="C186" s="1"/>
      <c r="D186" s="13" t="s">
        <v>33</v>
      </c>
      <c r="G186" s="97" t="s">
        <v>5</v>
      </c>
      <c r="H186" s="98" t="s">
        <v>65</v>
      </c>
      <c r="I186" s="97" t="s">
        <v>5</v>
      </c>
      <c r="J186" s="98" t="s">
        <v>65</v>
      </c>
      <c r="K186" s="97" t="s">
        <v>5</v>
      </c>
      <c r="L186" s="98" t="s">
        <v>65</v>
      </c>
      <c r="M186" s="97" t="s">
        <v>5</v>
      </c>
      <c r="N186" s="98" t="s">
        <v>65</v>
      </c>
      <c r="O186" s="97" t="s">
        <v>5</v>
      </c>
      <c r="P186" s="98" t="s">
        <v>65</v>
      </c>
      <c r="Q186" s="97" t="s">
        <v>5</v>
      </c>
      <c r="R186" s="98" t="s">
        <v>65</v>
      </c>
      <c r="S186" s="97" t="s">
        <v>5</v>
      </c>
      <c r="T186" s="98" t="s">
        <v>65</v>
      </c>
      <c r="U186" s="97" t="s">
        <v>5</v>
      </c>
      <c r="V186" s="98" t="s">
        <v>65</v>
      </c>
    </row>
    <row r="187" spans="2:22" ht="12.75">
      <c r="B187" s="58" t="s">
        <v>57</v>
      </c>
      <c r="C187" s="1">
        <v>6</v>
      </c>
      <c r="D187" s="13" t="s">
        <v>33</v>
      </c>
      <c r="F187" s="109" t="s">
        <v>34</v>
      </c>
      <c r="G187" s="410" t="s">
        <v>84</v>
      </c>
      <c r="H187" s="411"/>
      <c r="I187" s="410" t="s">
        <v>85</v>
      </c>
      <c r="J187" s="411"/>
      <c r="K187" s="410" t="s">
        <v>86</v>
      </c>
      <c r="L187" s="411"/>
      <c r="M187" s="410" t="s">
        <v>87</v>
      </c>
      <c r="N187" s="411"/>
      <c r="O187" s="410" t="s">
        <v>88</v>
      </c>
      <c r="P187" s="411"/>
      <c r="Q187" s="410" t="s">
        <v>89</v>
      </c>
      <c r="R187" s="411"/>
      <c r="S187" s="410" t="s">
        <v>90</v>
      </c>
      <c r="T187" s="411"/>
      <c r="U187" s="410" t="s">
        <v>91</v>
      </c>
      <c r="V187" s="411"/>
    </row>
    <row r="188" spans="2:22" ht="12.75">
      <c r="B188" s="58" t="s">
        <v>59</v>
      </c>
      <c r="C188" s="1">
        <v>188</v>
      </c>
      <c r="D188" s="13"/>
      <c r="F188" s="94">
        <v>0</v>
      </c>
      <c r="G188" s="91">
        <v>230</v>
      </c>
      <c r="H188" s="9">
        <f>G188/G$188</f>
        <v>1</v>
      </c>
      <c r="I188" s="91">
        <v>335</v>
      </c>
      <c r="J188" s="12">
        <f>I188/I$188</f>
        <v>1</v>
      </c>
      <c r="K188" s="113">
        <v>430</v>
      </c>
      <c r="L188" s="98">
        <f>K188/K$188</f>
        <v>1</v>
      </c>
      <c r="M188" s="113">
        <v>630</v>
      </c>
      <c r="N188" s="98">
        <f>M188/M$188</f>
        <v>1</v>
      </c>
      <c r="O188" s="113">
        <v>860</v>
      </c>
      <c r="P188" s="98">
        <f>O188/O$188</f>
        <v>1</v>
      </c>
      <c r="Q188" s="113">
        <v>1060</v>
      </c>
      <c r="R188" s="98">
        <f>Q188/Q$188</f>
        <v>1</v>
      </c>
      <c r="S188" s="113">
        <v>1230</v>
      </c>
      <c r="T188" s="98">
        <f>S188/S$188</f>
        <v>1</v>
      </c>
      <c r="U188" s="113">
        <v>1410</v>
      </c>
      <c r="V188" s="98">
        <f>U188/U$188</f>
        <v>1</v>
      </c>
    </row>
    <row r="189" spans="2:22" ht="12.75">
      <c r="B189" s="58" t="s">
        <v>60</v>
      </c>
      <c r="C189" s="1">
        <v>191</v>
      </c>
      <c r="D189" s="13"/>
      <c r="F189" s="94">
        <v>0.05</v>
      </c>
      <c r="G189" s="91">
        <v>205</v>
      </c>
      <c r="H189" s="9">
        <f>G189/G$188</f>
        <v>0.8913043478260869</v>
      </c>
      <c r="I189" s="91">
        <v>290</v>
      </c>
      <c r="J189" s="11">
        <f aca="true" t="shared" si="0" ref="J189:L191">I189/I$188</f>
        <v>0.8656716417910447</v>
      </c>
      <c r="K189" s="91">
        <v>390</v>
      </c>
      <c r="L189" s="111">
        <f t="shared" si="0"/>
        <v>0.9069767441860465</v>
      </c>
      <c r="M189" s="91">
        <v>560</v>
      </c>
      <c r="N189" s="111">
        <f>M189/M$188</f>
        <v>0.8888888888888888</v>
      </c>
      <c r="O189" s="91">
        <v>750</v>
      </c>
      <c r="P189" s="111">
        <f>O189/O$188</f>
        <v>0.872093023255814</v>
      </c>
      <c r="Q189" s="91">
        <v>925</v>
      </c>
      <c r="R189" s="111">
        <f>Q189/Q$188</f>
        <v>0.8726415094339622</v>
      </c>
      <c r="S189" s="91">
        <v>1060</v>
      </c>
      <c r="T189" s="111">
        <f>S189/S$188</f>
        <v>0.8617886178861789</v>
      </c>
      <c r="U189" s="91">
        <v>1210</v>
      </c>
      <c r="V189" s="111">
        <f>U189/U$188</f>
        <v>0.8581560283687943</v>
      </c>
    </row>
    <row r="190" spans="2:22" ht="12.75">
      <c r="B190" s="58" t="s">
        <v>67</v>
      </c>
      <c r="C190" s="1">
        <v>8</v>
      </c>
      <c r="D190" s="13"/>
      <c r="F190" s="94">
        <v>0.1</v>
      </c>
      <c r="G190" s="91">
        <v>165</v>
      </c>
      <c r="H190" s="9">
        <f>G190/G$188</f>
        <v>0.717391304347826</v>
      </c>
      <c r="I190" s="91">
        <v>240</v>
      </c>
      <c r="J190" s="11">
        <f t="shared" si="0"/>
        <v>0.7164179104477612</v>
      </c>
      <c r="K190" s="91">
        <v>315</v>
      </c>
      <c r="L190" s="111">
        <f t="shared" si="0"/>
        <v>0.7325581395348837</v>
      </c>
      <c r="M190" s="91">
        <v>450</v>
      </c>
      <c r="N190" s="111">
        <f>M190/M$188</f>
        <v>0.7142857142857143</v>
      </c>
      <c r="O190" s="91">
        <v>620</v>
      </c>
      <c r="P190" s="111">
        <f>O190/O$188</f>
        <v>0.7209302325581395</v>
      </c>
      <c r="Q190" s="91">
        <v>755</v>
      </c>
      <c r="R190" s="111">
        <f>Q190/Q$188</f>
        <v>0.7122641509433962</v>
      </c>
      <c r="S190" s="91">
        <v>865</v>
      </c>
      <c r="T190" s="111">
        <f>S190/S$188</f>
        <v>0.7032520325203252</v>
      </c>
      <c r="U190" s="91">
        <v>980</v>
      </c>
      <c r="V190" s="111">
        <f>U190/U$188</f>
        <v>0.6950354609929078</v>
      </c>
    </row>
    <row r="191" spans="2:22" ht="12.75">
      <c r="B191" s="58" t="s">
        <v>63</v>
      </c>
      <c r="C191" s="1">
        <v>1</v>
      </c>
      <c r="D191" s="13" t="s">
        <v>92</v>
      </c>
      <c r="F191" s="95">
        <v>0.125</v>
      </c>
      <c r="G191" s="93">
        <v>145</v>
      </c>
      <c r="H191" s="112">
        <f>G191/G$188</f>
        <v>0.6304347826086957</v>
      </c>
      <c r="I191" s="93">
        <v>210</v>
      </c>
      <c r="J191" s="92">
        <f t="shared" si="0"/>
        <v>0.6268656716417911</v>
      </c>
      <c r="K191" s="93">
        <v>275</v>
      </c>
      <c r="L191" s="110">
        <f t="shared" si="0"/>
        <v>0.6395348837209303</v>
      </c>
      <c r="M191" s="93">
        <v>400</v>
      </c>
      <c r="N191" s="110">
        <f>M191/M$188</f>
        <v>0.6349206349206349</v>
      </c>
      <c r="O191" s="93">
        <v>540</v>
      </c>
      <c r="P191" s="110">
        <f>O191/O$188</f>
        <v>0.627906976744186</v>
      </c>
      <c r="Q191" s="93">
        <v>660</v>
      </c>
      <c r="R191" s="110">
        <f>Q191/Q$188</f>
        <v>0.6226415094339622</v>
      </c>
      <c r="S191" s="93">
        <v>750</v>
      </c>
      <c r="T191" s="110">
        <f>S191/S$188</f>
        <v>0.6097560975609756</v>
      </c>
      <c r="U191" s="93">
        <v>850</v>
      </c>
      <c r="V191" s="110">
        <f>U191/U$188</f>
        <v>0.6028368794326241</v>
      </c>
    </row>
    <row r="200" spans="2:16" ht="12.75">
      <c r="B200" s="58" t="s">
        <v>53</v>
      </c>
      <c r="C200" t="s">
        <v>54</v>
      </c>
      <c r="F200" s="403" t="s">
        <v>93</v>
      </c>
      <c r="G200" s="403"/>
      <c r="H200" s="403"/>
      <c r="I200" s="403"/>
      <c r="J200" s="403"/>
      <c r="K200" s="403"/>
      <c r="L200" s="403"/>
      <c r="M200" s="403"/>
      <c r="N200" s="403"/>
      <c r="O200" s="403"/>
      <c r="P200" s="403"/>
    </row>
    <row r="201" spans="2:16" ht="12.75">
      <c r="B201" s="58" t="s">
        <v>55</v>
      </c>
      <c r="D201" t="s">
        <v>94</v>
      </c>
      <c r="F201" s="403"/>
      <c r="G201" s="403"/>
      <c r="H201" s="403"/>
      <c r="I201" s="403"/>
      <c r="J201" s="403"/>
      <c r="K201" s="403"/>
      <c r="L201" s="403"/>
      <c r="M201" s="403"/>
      <c r="N201" s="403"/>
      <c r="O201" s="403"/>
      <c r="P201" s="403"/>
    </row>
    <row r="202" spans="2:4" ht="12.75">
      <c r="B202" s="58" t="s">
        <v>56</v>
      </c>
      <c r="D202" t="s">
        <v>42</v>
      </c>
    </row>
    <row r="203" spans="2:6" ht="12.75">
      <c r="B203" s="58" t="s">
        <v>57</v>
      </c>
      <c r="C203">
        <v>6</v>
      </c>
      <c r="D203" t="s">
        <v>94</v>
      </c>
      <c r="F203" t="s">
        <v>95</v>
      </c>
    </row>
    <row r="204" spans="2:4" ht="12.75">
      <c r="B204" s="58" t="s">
        <v>58</v>
      </c>
      <c r="C204">
        <v>206</v>
      </c>
      <c r="D204" t="s">
        <v>42</v>
      </c>
    </row>
    <row r="205" spans="2:15" ht="12.75">
      <c r="B205" s="58" t="s">
        <v>59</v>
      </c>
      <c r="C205">
        <v>213</v>
      </c>
      <c r="G205" s="407" t="s">
        <v>96</v>
      </c>
      <c r="H205" s="408"/>
      <c r="I205" s="408"/>
      <c r="J205" s="408"/>
      <c r="K205" s="408"/>
      <c r="L205" s="408"/>
      <c r="M205" s="408"/>
      <c r="N205" s="408"/>
      <c r="O205" s="409"/>
    </row>
    <row r="206" spans="2:15" ht="12.75">
      <c r="B206" s="58" t="s">
        <v>60</v>
      </c>
      <c r="C206">
        <v>223</v>
      </c>
      <c r="F206" s="1"/>
      <c r="G206" s="114">
        <v>10</v>
      </c>
      <c r="H206" s="115">
        <v>20</v>
      </c>
      <c r="I206" s="115">
        <v>30</v>
      </c>
      <c r="J206" s="115">
        <v>40</v>
      </c>
      <c r="K206" s="115">
        <v>50</v>
      </c>
      <c r="L206" s="115">
        <v>60</v>
      </c>
      <c r="M206" s="115">
        <v>70</v>
      </c>
      <c r="N206" s="115">
        <v>80</v>
      </c>
      <c r="O206" s="116">
        <v>90</v>
      </c>
    </row>
    <row r="207" spans="2:15" ht="26.25">
      <c r="B207" s="58" t="s">
        <v>61</v>
      </c>
      <c r="C207">
        <v>7</v>
      </c>
      <c r="F207" s="1" t="s">
        <v>97</v>
      </c>
      <c r="G207" s="117" t="s">
        <v>98</v>
      </c>
      <c r="H207" s="117" t="s">
        <v>98</v>
      </c>
      <c r="I207" s="117" t="s">
        <v>98</v>
      </c>
      <c r="J207" s="117" t="s">
        <v>98</v>
      </c>
      <c r="K207" s="117" t="s">
        <v>98</v>
      </c>
      <c r="L207" s="117" t="s">
        <v>98</v>
      </c>
      <c r="M207" s="117" t="s">
        <v>98</v>
      </c>
      <c r="N207" s="117" t="s">
        <v>98</v>
      </c>
      <c r="O207" s="117" t="s">
        <v>98</v>
      </c>
    </row>
    <row r="208" spans="2:15" ht="12.75">
      <c r="B208" s="58" t="s">
        <v>62</v>
      </c>
      <c r="C208">
        <v>15</v>
      </c>
      <c r="F208" s="1" t="s">
        <v>99</v>
      </c>
      <c r="G208" s="1" t="s">
        <v>100</v>
      </c>
      <c r="H208" s="1" t="s">
        <v>100</v>
      </c>
      <c r="I208" s="1" t="s">
        <v>100</v>
      </c>
      <c r="J208" s="1" t="s">
        <v>100</v>
      </c>
      <c r="K208" s="1" t="s">
        <v>100</v>
      </c>
      <c r="L208" s="1" t="s">
        <v>100</v>
      </c>
      <c r="M208" s="1" t="s">
        <v>100</v>
      </c>
      <c r="N208" s="1" t="s">
        <v>100</v>
      </c>
      <c r="O208" s="1" t="s">
        <v>100</v>
      </c>
    </row>
    <row r="209" spans="2:15" ht="12.75">
      <c r="B209" s="58" t="s">
        <v>63</v>
      </c>
      <c r="C209" s="118">
        <v>0.946</v>
      </c>
      <c r="D209" t="s">
        <v>64</v>
      </c>
      <c r="F209" s="1">
        <v>-30</v>
      </c>
      <c r="G209" s="80"/>
      <c r="H209" s="80"/>
      <c r="I209" s="80"/>
      <c r="J209" s="80"/>
      <c r="K209" s="80">
        <v>0.74</v>
      </c>
      <c r="L209" s="80">
        <v>0.68</v>
      </c>
      <c r="M209" s="80">
        <v>0.63</v>
      </c>
      <c r="N209" s="80">
        <v>0.57</v>
      </c>
      <c r="O209" s="80"/>
    </row>
    <row r="210" spans="6:15" ht="12.75">
      <c r="F210" s="1">
        <v>-25</v>
      </c>
      <c r="G210" s="80"/>
      <c r="H210" s="80"/>
      <c r="I210" s="80"/>
      <c r="J210" s="80"/>
      <c r="K210" s="80">
        <v>0.74</v>
      </c>
      <c r="L210" s="80">
        <v>0.68</v>
      </c>
      <c r="M210" s="80">
        <v>0.63</v>
      </c>
      <c r="N210" s="80">
        <v>0.57</v>
      </c>
      <c r="O210" s="80"/>
    </row>
    <row r="211" spans="6:15" ht="12.75">
      <c r="F211" s="1">
        <v>0</v>
      </c>
      <c r="G211" s="80"/>
      <c r="H211" s="80"/>
      <c r="I211" s="80"/>
      <c r="J211" s="80">
        <v>0.8</v>
      </c>
      <c r="K211" s="80">
        <v>0.75</v>
      </c>
      <c r="L211" s="80">
        <v>0.7</v>
      </c>
      <c r="M211" s="80">
        <v>0.64</v>
      </c>
      <c r="N211" s="80">
        <v>0.59</v>
      </c>
      <c r="O211" s="80">
        <v>0.53</v>
      </c>
    </row>
    <row r="212" spans="4:15" ht="12.75">
      <c r="D212" s="222"/>
      <c r="F212" s="1">
        <v>25</v>
      </c>
      <c r="G212" s="80"/>
      <c r="H212" s="80">
        <v>0.9</v>
      </c>
      <c r="I212" s="80">
        <v>0.86</v>
      </c>
      <c r="J212" s="80">
        <v>0.81</v>
      </c>
      <c r="K212" s="80">
        <v>0.77</v>
      </c>
      <c r="L212" s="80">
        <v>0.72</v>
      </c>
      <c r="M212" s="80">
        <v>0.66</v>
      </c>
      <c r="N212" s="80">
        <v>0.61</v>
      </c>
      <c r="O212" s="80">
        <v>0.55</v>
      </c>
    </row>
    <row r="213" spans="6:15" ht="12.75">
      <c r="F213" s="1">
        <v>50</v>
      </c>
      <c r="G213" s="80">
        <v>0.94</v>
      </c>
      <c r="H213" s="80">
        <v>0.91</v>
      </c>
      <c r="I213" s="80">
        <v>0.87</v>
      </c>
      <c r="J213" s="80">
        <v>0.82</v>
      </c>
      <c r="K213" s="80">
        <v>0.78</v>
      </c>
      <c r="L213" s="80">
        <v>0.73</v>
      </c>
      <c r="M213" s="80">
        <v>0.68</v>
      </c>
      <c r="N213" s="80">
        <v>0.63</v>
      </c>
      <c r="O213" s="80">
        <v>0.57</v>
      </c>
    </row>
    <row r="214" spans="6:15" ht="12.75">
      <c r="F214" s="1">
        <v>75</v>
      </c>
      <c r="G214" s="80">
        <v>0.95</v>
      </c>
      <c r="H214" s="80">
        <v>0.92</v>
      </c>
      <c r="I214" s="80">
        <v>0.88</v>
      </c>
      <c r="J214" s="80">
        <v>0.83</v>
      </c>
      <c r="K214" s="80">
        <v>0.79</v>
      </c>
      <c r="L214" s="80">
        <v>0.74</v>
      </c>
      <c r="M214" s="80">
        <v>0.69</v>
      </c>
      <c r="N214" s="80">
        <v>0.64</v>
      </c>
      <c r="O214" s="80">
        <v>0.59</v>
      </c>
    </row>
    <row r="215" spans="6:15" ht="12.75">
      <c r="F215" s="1">
        <v>100</v>
      </c>
      <c r="G215" s="80">
        <v>0.96</v>
      </c>
      <c r="H215" s="80">
        <v>0.92</v>
      </c>
      <c r="I215" s="80">
        <v>0.88</v>
      </c>
      <c r="J215" s="80">
        <v>0.84</v>
      </c>
      <c r="K215" s="80">
        <v>0.8</v>
      </c>
      <c r="L215" s="80">
        <v>0.76</v>
      </c>
      <c r="M215" s="80">
        <v>0.71</v>
      </c>
      <c r="N215" s="80">
        <v>0.66</v>
      </c>
      <c r="O215" s="80">
        <v>0.61</v>
      </c>
    </row>
    <row r="216" spans="6:15" ht="12.75">
      <c r="F216" s="1">
        <v>125</v>
      </c>
      <c r="G216" s="80">
        <v>0.96</v>
      </c>
      <c r="H216" s="80">
        <v>0.93</v>
      </c>
      <c r="I216" s="80">
        <v>0.89</v>
      </c>
      <c r="J216" s="80">
        <v>0.86</v>
      </c>
      <c r="K216" s="80">
        <v>0.81</v>
      </c>
      <c r="L216" s="80">
        <v>0.77</v>
      </c>
      <c r="M216" s="80">
        <v>0.72</v>
      </c>
      <c r="N216" s="80">
        <v>0.68</v>
      </c>
      <c r="O216" s="80">
        <v>0.63</v>
      </c>
    </row>
    <row r="217" spans="6:15" ht="12.75">
      <c r="F217" s="1">
        <v>150</v>
      </c>
      <c r="G217" s="80">
        <v>0.97</v>
      </c>
      <c r="H217" s="80">
        <v>0.94</v>
      </c>
      <c r="I217" s="80">
        <v>0.9</v>
      </c>
      <c r="J217" s="80">
        <v>0.87</v>
      </c>
      <c r="K217" s="80">
        <v>0.83</v>
      </c>
      <c r="L217" s="80">
        <v>0.79</v>
      </c>
      <c r="M217" s="80">
        <v>0.74</v>
      </c>
      <c r="N217" s="80">
        <v>0.69</v>
      </c>
      <c r="O217" s="80">
        <v>0.65</v>
      </c>
    </row>
    <row r="218" spans="6:15" ht="12.75">
      <c r="F218" s="1">
        <v>175</v>
      </c>
      <c r="G218" s="80">
        <v>0.97</v>
      </c>
      <c r="H218" s="80">
        <v>0.94</v>
      </c>
      <c r="I218" s="80">
        <v>0.91</v>
      </c>
      <c r="J218" s="80">
        <v>0.88</v>
      </c>
      <c r="K218" s="80">
        <v>0.84</v>
      </c>
      <c r="L218" s="80">
        <v>0.8</v>
      </c>
      <c r="M218" s="80">
        <v>0.76</v>
      </c>
      <c r="N218" s="80">
        <v>0.71</v>
      </c>
      <c r="O218" s="80">
        <v>0.67</v>
      </c>
    </row>
    <row r="219" spans="6:15" ht="12.75">
      <c r="F219" s="1">
        <v>200</v>
      </c>
      <c r="G219" s="80">
        <v>0.98</v>
      </c>
      <c r="H219" s="80">
        <v>0.95</v>
      </c>
      <c r="I219" s="80">
        <v>0.92</v>
      </c>
      <c r="J219" s="80">
        <v>0.89</v>
      </c>
      <c r="K219" s="80">
        <v>0.85</v>
      </c>
      <c r="L219" s="80">
        <v>0.81</v>
      </c>
      <c r="M219" s="80">
        <v>0.77</v>
      </c>
      <c r="N219" s="80">
        <v>0.73</v>
      </c>
      <c r="O219" s="80">
        <v>0.68</v>
      </c>
    </row>
    <row r="220" spans="6:15" ht="12.75">
      <c r="F220" s="1">
        <v>225</v>
      </c>
      <c r="G220" s="80">
        <v>0.98</v>
      </c>
      <c r="H220" s="80">
        <v>0.96</v>
      </c>
      <c r="I220" s="80">
        <v>0.93</v>
      </c>
      <c r="J220" s="80">
        <v>0.9</v>
      </c>
      <c r="K220" s="80">
        <v>0.86</v>
      </c>
      <c r="L220" s="80">
        <v>0.83</v>
      </c>
      <c r="M220" s="80">
        <v>0.79</v>
      </c>
      <c r="N220" s="80">
        <v>0.75</v>
      </c>
      <c r="O220" s="80">
        <v>0.7</v>
      </c>
    </row>
    <row r="221" spans="6:15" ht="12.75">
      <c r="F221" s="1">
        <v>250</v>
      </c>
      <c r="G221" s="80">
        <v>0.99</v>
      </c>
      <c r="H221" s="80">
        <v>0.97</v>
      </c>
      <c r="I221" s="80">
        <v>0.94</v>
      </c>
      <c r="J221" s="80">
        <v>0.91</v>
      </c>
      <c r="K221" s="80">
        <v>0.87</v>
      </c>
      <c r="L221" s="80">
        <v>0.84</v>
      </c>
      <c r="M221" s="80">
        <v>0.81</v>
      </c>
      <c r="N221" s="80">
        <v>0.76</v>
      </c>
      <c r="O221" s="80">
        <v>0.72</v>
      </c>
    </row>
    <row r="222" spans="6:15" ht="12.75">
      <c r="F222" s="1">
        <v>275</v>
      </c>
      <c r="G222" s="80">
        <f>0.94+0.0002*F222</f>
        <v>0.995</v>
      </c>
      <c r="H222" s="80">
        <f>0.8933+0.0003*F222</f>
        <v>0.9758</v>
      </c>
      <c r="I222" s="80">
        <f>0.84+0.0004*F222</f>
        <v>0.95</v>
      </c>
      <c r="J222" s="80">
        <f>0.81+0.0004*F222</f>
        <v>0.92</v>
      </c>
      <c r="K222" s="80">
        <f>0.77+0.0004*F222</f>
        <v>0.88</v>
      </c>
      <c r="L222" s="80">
        <f>0.7133+0.0005*F222</f>
        <v>0.8508</v>
      </c>
      <c r="M222" s="80">
        <f>0.6333+0.0007*F222</f>
        <v>0.8258</v>
      </c>
      <c r="N222" s="80">
        <f>0.5867+0.0007*F222</f>
        <v>0.7792</v>
      </c>
      <c r="O222" s="80">
        <f>0.5433+0.0007*F222</f>
        <v>0.7358</v>
      </c>
    </row>
    <row r="223" spans="6:15" ht="12.75">
      <c r="F223" s="1">
        <v>300</v>
      </c>
      <c r="G223" s="80">
        <f>0.94+0.0002*F223</f>
        <v>1</v>
      </c>
      <c r="H223" s="80">
        <f>0.8933+0.0003*F223</f>
        <v>0.9833</v>
      </c>
      <c r="I223" s="80">
        <f>0.84+0.0004*F223</f>
        <v>0.96</v>
      </c>
      <c r="J223" s="80">
        <f>0.81+0.0004*F223</f>
        <v>0.93</v>
      </c>
      <c r="K223" s="80">
        <f>0.77+0.0004*F223</f>
        <v>0.89</v>
      </c>
      <c r="L223" s="80">
        <f>0.7133+0.0005*F223</f>
        <v>0.8633000000000001</v>
      </c>
      <c r="M223" s="80">
        <f>0.6333+0.0007*F223</f>
        <v>0.8432999999999999</v>
      </c>
      <c r="N223" s="80">
        <f>0.5867+0.0007*F223</f>
        <v>0.7967</v>
      </c>
      <c r="O223" s="80">
        <f>0.5433+0.0007*F223</f>
        <v>0.7533</v>
      </c>
    </row>
    <row r="230" spans="2:16" ht="12.75">
      <c r="B230" s="58" t="s">
        <v>53</v>
      </c>
      <c r="C230" t="s">
        <v>54</v>
      </c>
      <c r="F230" s="403" t="s">
        <v>101</v>
      </c>
      <c r="G230" s="403"/>
      <c r="H230" s="403"/>
      <c r="I230" s="403"/>
      <c r="J230" s="403"/>
      <c r="K230" s="403"/>
      <c r="L230" s="403"/>
      <c r="M230" s="403"/>
      <c r="N230" s="403"/>
      <c r="O230" s="403"/>
      <c r="P230" s="403"/>
    </row>
    <row r="231" spans="2:16" ht="12.75">
      <c r="B231" s="58" t="s">
        <v>55</v>
      </c>
      <c r="D231" t="s">
        <v>94</v>
      </c>
      <c r="F231" s="403"/>
      <c r="G231" s="403"/>
      <c r="H231" s="403"/>
      <c r="I231" s="403"/>
      <c r="J231" s="403"/>
      <c r="K231" s="403"/>
      <c r="L231" s="403"/>
      <c r="M231" s="403"/>
      <c r="N231" s="403"/>
      <c r="O231" s="403"/>
      <c r="P231" s="403"/>
    </row>
    <row r="232" spans="2:4" ht="12.75">
      <c r="B232" s="58" t="s">
        <v>56</v>
      </c>
      <c r="D232" t="s">
        <v>42</v>
      </c>
    </row>
    <row r="233" spans="2:6" ht="12.75">
      <c r="B233" s="58" t="s">
        <v>57</v>
      </c>
      <c r="C233">
        <v>6</v>
      </c>
      <c r="D233" t="s">
        <v>94</v>
      </c>
      <c r="F233" t="s">
        <v>102</v>
      </c>
    </row>
    <row r="234" spans="2:4" ht="12.75">
      <c r="B234" s="58" t="s">
        <v>58</v>
      </c>
      <c r="C234">
        <v>236</v>
      </c>
      <c r="D234" t="s">
        <v>42</v>
      </c>
    </row>
    <row r="235" spans="2:15" ht="12.75">
      <c r="B235" s="58" t="s">
        <v>59</v>
      </c>
      <c r="C235">
        <v>242</v>
      </c>
      <c r="G235" s="407" t="s">
        <v>96</v>
      </c>
      <c r="H235" s="408"/>
      <c r="I235" s="408"/>
      <c r="J235" s="408"/>
      <c r="K235" s="408"/>
      <c r="L235" s="408"/>
      <c r="M235" s="408"/>
      <c r="N235" s="408"/>
      <c r="O235" s="409"/>
    </row>
    <row r="236" spans="2:15" ht="12.75">
      <c r="B236" s="58" t="s">
        <v>60</v>
      </c>
      <c r="C236">
        <v>253</v>
      </c>
      <c r="F236" s="1"/>
      <c r="G236" s="114">
        <v>10</v>
      </c>
      <c r="H236" s="115">
        <v>20</v>
      </c>
      <c r="I236" s="115">
        <v>30</v>
      </c>
      <c r="J236" s="115">
        <v>40</v>
      </c>
      <c r="K236" s="115">
        <v>50</v>
      </c>
      <c r="L236" s="115">
        <v>60</v>
      </c>
      <c r="M236" s="115">
        <v>70</v>
      </c>
      <c r="N236" s="115">
        <v>80</v>
      </c>
      <c r="O236" s="116">
        <v>90</v>
      </c>
    </row>
    <row r="237" spans="2:15" ht="26.25">
      <c r="B237" s="58" t="s">
        <v>61</v>
      </c>
      <c r="C237">
        <v>7</v>
      </c>
      <c r="F237" s="1" t="s">
        <v>97</v>
      </c>
      <c r="G237" s="117" t="s">
        <v>98</v>
      </c>
      <c r="H237" s="117" t="s">
        <v>98</v>
      </c>
      <c r="I237" s="117" t="s">
        <v>98</v>
      </c>
      <c r="J237" s="117" t="s">
        <v>98</v>
      </c>
      <c r="K237" s="117" t="s">
        <v>98</v>
      </c>
      <c r="L237" s="117" t="s">
        <v>98</v>
      </c>
      <c r="M237" s="117" t="s">
        <v>98</v>
      </c>
      <c r="N237" s="117" t="s">
        <v>98</v>
      </c>
      <c r="O237" s="117" t="s">
        <v>98</v>
      </c>
    </row>
    <row r="238" spans="2:15" ht="12.75">
      <c r="B238" s="58" t="s">
        <v>62</v>
      </c>
      <c r="C238">
        <v>15</v>
      </c>
      <c r="F238" s="1" t="s">
        <v>99</v>
      </c>
      <c r="G238" s="1" t="s">
        <v>100</v>
      </c>
      <c r="H238" s="1" t="s">
        <v>100</v>
      </c>
      <c r="I238" s="1" t="s">
        <v>100</v>
      </c>
      <c r="J238" s="1" t="s">
        <v>100</v>
      </c>
      <c r="K238" s="1" t="s">
        <v>100</v>
      </c>
      <c r="L238" s="1" t="s">
        <v>100</v>
      </c>
      <c r="M238" s="1" t="s">
        <v>100</v>
      </c>
      <c r="N238" s="1" t="s">
        <v>100</v>
      </c>
      <c r="O238" s="1" t="s">
        <v>100</v>
      </c>
    </row>
    <row r="239" spans="2:15" ht="12.75">
      <c r="B239" s="58" t="s">
        <v>63</v>
      </c>
      <c r="C239" s="118">
        <v>0.986</v>
      </c>
      <c r="D239" t="s">
        <v>64</v>
      </c>
      <c r="F239" s="1">
        <v>-30</v>
      </c>
      <c r="G239" s="80"/>
      <c r="H239" s="80"/>
      <c r="I239" s="80"/>
      <c r="J239" s="80"/>
      <c r="K239" s="80">
        <v>0.8</v>
      </c>
      <c r="L239" s="80">
        <v>0.74</v>
      </c>
      <c r="M239" s="80">
        <v>0.68</v>
      </c>
      <c r="N239" s="80">
        <v>0.62</v>
      </c>
      <c r="O239" s="80">
        <v>0.55</v>
      </c>
    </row>
    <row r="240" spans="6:15" ht="12.75">
      <c r="F240" s="1">
        <v>-25</v>
      </c>
      <c r="G240" s="80"/>
      <c r="H240" s="80"/>
      <c r="I240" s="80"/>
      <c r="J240" s="80"/>
      <c r="K240" s="80">
        <v>0.8</v>
      </c>
      <c r="L240" s="80">
        <v>0.74</v>
      </c>
      <c r="M240" s="80">
        <v>0.68</v>
      </c>
      <c r="N240" s="80">
        <v>0.62</v>
      </c>
      <c r="O240" s="80">
        <v>0.55</v>
      </c>
    </row>
    <row r="241" spans="6:15" ht="12.75">
      <c r="F241" s="1">
        <v>0</v>
      </c>
      <c r="G241" s="80"/>
      <c r="H241" s="80"/>
      <c r="I241" s="80"/>
      <c r="J241" s="80">
        <v>0.85</v>
      </c>
      <c r="K241" s="80">
        <v>0.81</v>
      </c>
      <c r="L241" s="80">
        <v>0.76</v>
      </c>
      <c r="M241" s="80">
        <v>0.7</v>
      </c>
      <c r="N241" s="80">
        <v>0.64</v>
      </c>
      <c r="O241" s="80">
        <v>0.57</v>
      </c>
    </row>
    <row r="242" spans="6:15" ht="12.75">
      <c r="F242" s="1">
        <v>25</v>
      </c>
      <c r="G242" s="80">
        <v>0.96</v>
      </c>
      <c r="H242" s="80">
        <v>0.94</v>
      </c>
      <c r="I242" s="80">
        <v>0.9</v>
      </c>
      <c r="J242" s="80">
        <v>0.87</v>
      </c>
      <c r="K242" s="80">
        <v>0.83</v>
      </c>
      <c r="L242" s="80">
        <v>0.77</v>
      </c>
      <c r="M242" s="80">
        <v>0.72</v>
      </c>
      <c r="N242" s="80">
        <v>0.65</v>
      </c>
      <c r="O242" s="80">
        <v>0.59</v>
      </c>
    </row>
    <row r="243" spans="6:15" ht="12.75">
      <c r="F243" s="1">
        <v>50</v>
      </c>
      <c r="G243" s="80">
        <v>0.97</v>
      </c>
      <c r="H243" s="80">
        <v>0.94</v>
      </c>
      <c r="I243" s="80">
        <v>0.91</v>
      </c>
      <c r="J243" s="80">
        <v>0.88</v>
      </c>
      <c r="K243" s="80">
        <v>0.84</v>
      </c>
      <c r="L243" s="80">
        <v>0.79</v>
      </c>
      <c r="M243" s="80">
        <v>0.73</v>
      </c>
      <c r="N243" s="80">
        <v>0.67</v>
      </c>
      <c r="O243" s="80">
        <v>0.61</v>
      </c>
    </row>
    <row r="244" spans="6:15" ht="12.75">
      <c r="F244" s="1">
        <v>75</v>
      </c>
      <c r="G244" s="80">
        <v>0.97</v>
      </c>
      <c r="H244" s="80">
        <v>0.95</v>
      </c>
      <c r="I244" s="80">
        <v>0.92</v>
      </c>
      <c r="J244" s="80">
        <v>0.89</v>
      </c>
      <c r="K244" s="80">
        <v>0.85</v>
      </c>
      <c r="L244" s="80">
        <v>0.8</v>
      </c>
      <c r="M244" s="80">
        <v>0.75</v>
      </c>
      <c r="N244" s="80">
        <v>0.69</v>
      </c>
      <c r="O244" s="80">
        <v>0.63</v>
      </c>
    </row>
    <row r="245" spans="6:15" ht="12.75">
      <c r="F245" s="1">
        <v>100</v>
      </c>
      <c r="G245" s="80">
        <v>0.98</v>
      </c>
      <c r="H245" s="80">
        <v>0.96</v>
      </c>
      <c r="I245" s="80">
        <v>0.93</v>
      </c>
      <c r="J245" s="80">
        <v>0.9</v>
      </c>
      <c r="K245" s="80">
        <v>0.86</v>
      </c>
      <c r="L245" s="80">
        <v>0.82</v>
      </c>
      <c r="M245" s="80">
        <v>0.77</v>
      </c>
      <c r="N245" s="80">
        <v>0.71</v>
      </c>
      <c r="O245" s="80">
        <v>0.65</v>
      </c>
    </row>
    <row r="246" spans="6:15" ht="12.75">
      <c r="F246" s="1">
        <v>125</v>
      </c>
      <c r="G246" s="80">
        <v>0.98</v>
      </c>
      <c r="H246" s="80">
        <v>0.97</v>
      </c>
      <c r="I246" s="80">
        <v>0.94</v>
      </c>
      <c r="J246" s="80">
        <v>0.91</v>
      </c>
      <c r="K246" s="80">
        <v>0.87</v>
      </c>
      <c r="L246" s="80">
        <v>0.83</v>
      </c>
      <c r="M246" s="80">
        <v>0.78</v>
      </c>
      <c r="N246" s="80">
        <v>0.73</v>
      </c>
      <c r="O246" s="80">
        <v>0.67</v>
      </c>
    </row>
    <row r="247" spans="6:15" ht="12.75">
      <c r="F247" s="1">
        <v>150</v>
      </c>
      <c r="G247" s="80">
        <v>0.99</v>
      </c>
      <c r="H247" s="80">
        <v>0.97</v>
      </c>
      <c r="I247" s="80">
        <v>0.95</v>
      </c>
      <c r="J247" s="80">
        <v>0.92</v>
      </c>
      <c r="K247" s="80">
        <v>0.89</v>
      </c>
      <c r="L247" s="80">
        <v>0.85</v>
      </c>
      <c r="M247" s="80">
        <v>0.8</v>
      </c>
      <c r="N247" s="80">
        <v>0.75</v>
      </c>
      <c r="O247" s="80">
        <v>0.69</v>
      </c>
    </row>
    <row r="248" spans="6:15" ht="12.75">
      <c r="F248" s="1">
        <v>175</v>
      </c>
      <c r="G248" s="80">
        <v>1</v>
      </c>
      <c r="H248" s="80">
        <v>0.98</v>
      </c>
      <c r="I248" s="80">
        <v>0.96</v>
      </c>
      <c r="J248" s="80">
        <v>0.93</v>
      </c>
      <c r="K248" s="80">
        <v>0.9</v>
      </c>
      <c r="L248" s="80">
        <v>0.86</v>
      </c>
      <c r="M248" s="80">
        <v>0.82</v>
      </c>
      <c r="N248" s="80">
        <v>0.77</v>
      </c>
      <c r="O248" s="80">
        <v>0.71</v>
      </c>
    </row>
    <row r="249" spans="6:15" ht="12.75">
      <c r="F249" s="1">
        <v>200</v>
      </c>
      <c r="G249" s="80">
        <v>1</v>
      </c>
      <c r="H249" s="80">
        <v>0.99</v>
      </c>
      <c r="I249" s="80">
        <v>0.97</v>
      </c>
      <c r="J249" s="80">
        <v>0.94</v>
      </c>
      <c r="K249" s="80">
        <v>0.91</v>
      </c>
      <c r="L249" s="80">
        <v>0.87</v>
      </c>
      <c r="M249" s="80">
        <v>0.83</v>
      </c>
      <c r="N249" s="80">
        <v>0.78</v>
      </c>
      <c r="O249" s="80">
        <v>0.73</v>
      </c>
    </row>
    <row r="250" spans="6:15" ht="12.75">
      <c r="F250" s="1">
        <v>225</v>
      </c>
      <c r="G250" s="80">
        <v>1.01</v>
      </c>
      <c r="H250" s="80">
        <v>1</v>
      </c>
      <c r="I250" s="80">
        <v>0.98</v>
      </c>
      <c r="J250" s="80">
        <v>0.95</v>
      </c>
      <c r="K250" s="80">
        <v>0.93</v>
      </c>
      <c r="L250" s="80">
        <v>0.89</v>
      </c>
      <c r="M250" s="80">
        <v>0.85</v>
      </c>
      <c r="N250" s="80">
        <v>0.8</v>
      </c>
      <c r="O250" s="80">
        <v>0.75</v>
      </c>
    </row>
    <row r="251" spans="6:15" ht="12.75">
      <c r="F251" s="1">
        <v>250</v>
      </c>
      <c r="G251" s="80">
        <v>1.01</v>
      </c>
      <c r="H251" s="80">
        <v>1</v>
      </c>
      <c r="I251" s="80">
        <v>0.98</v>
      </c>
      <c r="J251" s="80">
        <v>0.96</v>
      </c>
      <c r="K251" s="80">
        <v>0.94</v>
      </c>
      <c r="L251" s="80">
        <v>0.9</v>
      </c>
      <c r="M251" s="80">
        <v>0.86</v>
      </c>
      <c r="N251" s="80">
        <v>0.82</v>
      </c>
      <c r="O251" s="80">
        <v>0.77</v>
      </c>
    </row>
    <row r="252" spans="6:15" ht="12.75">
      <c r="F252" s="1">
        <v>275</v>
      </c>
      <c r="G252" s="80">
        <f>0.96+0.0002*F252</f>
        <v>1.015</v>
      </c>
      <c r="H252" s="80">
        <f>0.9267+0.0003*F252</f>
        <v>1.0091999999999999</v>
      </c>
      <c r="I252" s="80">
        <f>0.9067+0.0003*F252</f>
        <v>0.9892</v>
      </c>
      <c r="J252" s="80">
        <f>0.86+0.0004*F252</f>
        <v>0.97</v>
      </c>
      <c r="K252" s="80">
        <f>0.8133+0.0005*F252</f>
        <v>0.9508000000000001</v>
      </c>
      <c r="L252" s="80">
        <f>0.7733+0.0005*F252</f>
        <v>0.9108</v>
      </c>
      <c r="M252" s="80">
        <f>0.6433+0.0007*F252</f>
        <v>0.8358</v>
      </c>
      <c r="N252" s="80">
        <f>0.6433+0.0007*F252</f>
        <v>0.8358</v>
      </c>
      <c r="O252" s="80">
        <f>0.57+0.0008*F252</f>
        <v>0.7899999999999999</v>
      </c>
    </row>
    <row r="253" spans="6:15" ht="12.75">
      <c r="F253" s="1">
        <v>300</v>
      </c>
      <c r="G253" s="80">
        <f>0.96+0.0002*F253</f>
        <v>1.02</v>
      </c>
      <c r="H253" s="80">
        <f>0.9267+0.0003*F253</f>
        <v>1.0167</v>
      </c>
      <c r="I253" s="80">
        <f>0.9067+0.0003*F253</f>
        <v>0.9966999999999999</v>
      </c>
      <c r="J253" s="80">
        <f>0.86+0.0004*F253</f>
        <v>0.98</v>
      </c>
      <c r="K253" s="80">
        <f>0.8133+0.0005*F253</f>
        <v>0.9633</v>
      </c>
      <c r="L253" s="80">
        <f>0.7733+0.0005*F253</f>
        <v>0.9233</v>
      </c>
      <c r="M253" s="80">
        <f>0.6433+0.0007*F253</f>
        <v>0.8533</v>
      </c>
      <c r="N253" s="80">
        <f>0.6433+0.0007*F253</f>
        <v>0.8533</v>
      </c>
      <c r="O253" s="80">
        <f>0.57+0.0008*F253</f>
        <v>0.8099999999999999</v>
      </c>
    </row>
    <row r="260" spans="2:13" ht="12.75">
      <c r="B260" s="58" t="s">
        <v>103</v>
      </c>
      <c r="C260">
        <v>6</v>
      </c>
      <c r="F260" s="403" t="s">
        <v>104</v>
      </c>
      <c r="G260" s="403"/>
      <c r="H260" s="403"/>
      <c r="I260" s="403"/>
      <c r="J260" s="403"/>
      <c r="K260" s="403"/>
      <c r="L260" s="403"/>
      <c r="M260" s="403"/>
    </row>
    <row r="261" spans="2:13" ht="12.75">
      <c r="B261" s="58" t="s">
        <v>105</v>
      </c>
      <c r="C261">
        <v>7</v>
      </c>
      <c r="F261" s="403"/>
      <c r="G261" s="403"/>
      <c r="H261" s="403"/>
      <c r="I261" s="403"/>
      <c r="J261" s="403"/>
      <c r="K261" s="403"/>
      <c r="L261" s="403"/>
      <c r="M261" s="403"/>
    </row>
    <row r="262" spans="2:3" ht="12.75">
      <c r="B262" s="58" t="s">
        <v>106</v>
      </c>
      <c r="C262">
        <v>8</v>
      </c>
    </row>
    <row r="263" spans="2:10" ht="12.75">
      <c r="B263" s="58" t="s">
        <v>107</v>
      </c>
      <c r="C263">
        <v>10</v>
      </c>
      <c r="F263" t="s">
        <v>108</v>
      </c>
      <c r="J263" t="s">
        <v>109</v>
      </c>
    </row>
    <row r="264" spans="2:8" ht="12.75">
      <c r="B264" s="58" t="s">
        <v>59</v>
      </c>
      <c r="C264">
        <v>283</v>
      </c>
      <c r="F264" t="s">
        <v>110</v>
      </c>
      <c r="H264" t="s">
        <v>111</v>
      </c>
    </row>
    <row r="265" spans="2:6" ht="12.75">
      <c r="B265" s="58" t="s">
        <v>60</v>
      </c>
      <c r="C265">
        <v>310</v>
      </c>
      <c r="F265" t="s">
        <v>112</v>
      </c>
    </row>
    <row r="266" spans="2:4" ht="12.75">
      <c r="B266" s="58" t="s">
        <v>113</v>
      </c>
      <c r="C266" s="118"/>
      <c r="D266" s="13" t="s">
        <v>114</v>
      </c>
    </row>
    <row r="267" spans="2:6" ht="12.75">
      <c r="B267" s="58" t="s">
        <v>113</v>
      </c>
      <c r="C267" s="118">
        <v>8.208740778467206</v>
      </c>
      <c r="D267" s="13" t="s">
        <v>24</v>
      </c>
      <c r="F267" t="s">
        <v>115</v>
      </c>
    </row>
    <row r="268" spans="2:4" ht="12.75">
      <c r="B268" s="58" t="s">
        <v>113</v>
      </c>
      <c r="C268" s="118"/>
      <c r="D268" s="13" t="s">
        <v>116</v>
      </c>
    </row>
    <row r="269" ht="12.75">
      <c r="F269" t="s">
        <v>117</v>
      </c>
    </row>
    <row r="271" ht="12.75">
      <c r="F271" t="s">
        <v>118</v>
      </c>
    </row>
    <row r="272" ht="12.75">
      <c r="F272" t="s">
        <v>119</v>
      </c>
    </row>
    <row r="273" ht="12.75">
      <c r="B273" s="58"/>
    </row>
    <row r="274" spans="2:6" ht="12.75">
      <c r="B274" s="58"/>
      <c r="F274" t="s">
        <v>120</v>
      </c>
    </row>
    <row r="275" ht="13.5" thickBot="1">
      <c r="B275" s="58"/>
    </row>
    <row r="276" spans="2:10" ht="13.5" thickBot="1">
      <c r="B276" s="58"/>
      <c r="F276" s="78" t="s">
        <v>99</v>
      </c>
      <c r="G276" s="61" t="s">
        <v>121</v>
      </c>
      <c r="H276" s="62" t="s">
        <v>122</v>
      </c>
      <c r="J276" s="60" t="s">
        <v>123</v>
      </c>
    </row>
    <row r="277" spans="6:10" ht="12.75">
      <c r="F277" s="78">
        <v>-30</v>
      </c>
      <c r="G277" s="119">
        <v>0.01738</v>
      </c>
      <c r="H277" s="120">
        <f aca="true" t="shared" si="1" ref="H277:H285">0.1336809/G277</f>
        <v>7.691651323360184</v>
      </c>
      <c r="I277" s="1"/>
      <c r="J277" s="121">
        <f aca="true" t="shared" si="2" ref="J277:J285">1/G277</f>
        <v>57.53739930955121</v>
      </c>
    </row>
    <row r="278" spans="6:10" ht="12.75">
      <c r="F278" s="64">
        <v>-20</v>
      </c>
      <c r="G278" s="122">
        <v>0.0174</v>
      </c>
      <c r="H278" s="123">
        <f t="shared" si="1"/>
        <v>7.682810344827586</v>
      </c>
      <c r="I278" s="1"/>
      <c r="J278" s="124">
        <f t="shared" si="2"/>
        <v>57.4712643678161</v>
      </c>
    </row>
    <row r="279" spans="6:10" ht="12.75">
      <c r="F279" s="64">
        <v>-10</v>
      </c>
      <c r="G279" s="122">
        <v>0.01741</v>
      </c>
      <c r="H279" s="123">
        <f t="shared" si="1"/>
        <v>7.67839747271683</v>
      </c>
      <c r="I279" s="1"/>
      <c r="J279" s="124">
        <f t="shared" si="2"/>
        <v>57.43825387708214</v>
      </c>
    </row>
    <row r="280" spans="6:10" ht="12.75">
      <c r="F280" s="64">
        <v>0</v>
      </c>
      <c r="G280" s="122">
        <v>0.01743</v>
      </c>
      <c r="H280" s="123">
        <f t="shared" si="1"/>
        <v>7.66958691910499</v>
      </c>
      <c r="I280" s="1"/>
      <c r="J280" s="124">
        <f t="shared" si="2"/>
        <v>57.37234652897303</v>
      </c>
    </row>
    <row r="281" spans="6:10" ht="12.75">
      <c r="F281" s="64">
        <v>10</v>
      </c>
      <c r="G281" s="122">
        <v>0.01744</v>
      </c>
      <c r="H281" s="123">
        <f t="shared" si="1"/>
        <v>7.6651892201834855</v>
      </c>
      <c r="I281" s="1"/>
      <c r="J281" s="124">
        <f t="shared" si="2"/>
        <v>57.3394495412844</v>
      </c>
    </row>
    <row r="282" spans="6:10" ht="12.75">
      <c r="F282" s="64">
        <v>20</v>
      </c>
      <c r="G282" s="122">
        <v>0.01746</v>
      </c>
      <c r="H282" s="123">
        <f t="shared" si="1"/>
        <v>7.656408934707903</v>
      </c>
      <c r="I282" s="1"/>
      <c r="J282" s="124">
        <f t="shared" si="2"/>
        <v>57.2737686139748</v>
      </c>
    </row>
    <row r="283" spans="6:10" ht="12.75">
      <c r="F283" s="64">
        <v>30</v>
      </c>
      <c r="G283" s="122">
        <v>0.01747</v>
      </c>
      <c r="H283" s="123">
        <f t="shared" si="1"/>
        <v>7.65202633085289</v>
      </c>
      <c r="I283" s="1"/>
      <c r="J283" s="124">
        <f t="shared" si="2"/>
        <v>57.24098454493417</v>
      </c>
    </row>
    <row r="284" spans="6:10" ht="12.75">
      <c r="F284" s="64">
        <v>40</v>
      </c>
      <c r="G284" s="122">
        <v>0.01602</v>
      </c>
      <c r="H284" s="123">
        <f t="shared" si="1"/>
        <v>8.344625468164793</v>
      </c>
      <c r="I284" s="1"/>
      <c r="J284" s="124">
        <f t="shared" si="2"/>
        <v>62.421972534332085</v>
      </c>
    </row>
    <row r="285" spans="6:10" ht="12.75">
      <c r="F285" s="64">
        <v>50</v>
      </c>
      <c r="G285" s="122">
        <v>0.01602</v>
      </c>
      <c r="H285" s="123">
        <f t="shared" si="1"/>
        <v>8.344625468164793</v>
      </c>
      <c r="I285" s="9"/>
      <c r="J285" s="124">
        <f t="shared" si="2"/>
        <v>62.421972534332085</v>
      </c>
    </row>
    <row r="286" spans="6:10" ht="12.75">
      <c r="F286" s="64">
        <v>60</v>
      </c>
      <c r="G286" s="122">
        <v>0.01604</v>
      </c>
      <c r="H286" s="123">
        <f>0.1336809/G286</f>
        <v>8.334220698254365</v>
      </c>
      <c r="I286" s="2"/>
      <c r="J286" s="124">
        <f>1/G286</f>
        <v>62.344139650872826</v>
      </c>
    </row>
    <row r="287" spans="6:10" ht="12.75">
      <c r="F287" s="64">
        <v>70</v>
      </c>
      <c r="G287" s="122">
        <v>0.01605</v>
      </c>
      <c r="H287" s="123">
        <f aca="true" t="shared" si="3" ref="H287:H310">0.1336809/G287</f>
        <v>8.329028037383178</v>
      </c>
      <c r="J287" s="124">
        <f aca="true" t="shared" si="4" ref="J287:J310">1/G287</f>
        <v>62.30529595015577</v>
      </c>
    </row>
    <row r="288" spans="6:10" ht="12.75">
      <c r="F288" s="64">
        <v>80</v>
      </c>
      <c r="G288" s="122">
        <v>0.01607</v>
      </c>
      <c r="H288" s="123">
        <f t="shared" si="3"/>
        <v>8.31866210329807</v>
      </c>
      <c r="J288" s="124">
        <f t="shared" si="4"/>
        <v>62.22775357809583</v>
      </c>
    </row>
    <row r="289" spans="6:10" ht="12.75">
      <c r="F289" s="64">
        <v>90</v>
      </c>
      <c r="G289" s="122">
        <v>0.0161</v>
      </c>
      <c r="H289" s="123">
        <f t="shared" si="3"/>
        <v>8.30316149068323</v>
      </c>
      <c r="J289" s="124">
        <f t="shared" si="4"/>
        <v>62.11180124223603</v>
      </c>
    </row>
    <row r="290" spans="6:10" ht="12.75">
      <c r="F290" s="64">
        <v>100</v>
      </c>
      <c r="G290" s="122">
        <v>0.01613</v>
      </c>
      <c r="H290" s="123">
        <f t="shared" si="3"/>
        <v>8.287718536887787</v>
      </c>
      <c r="J290" s="124">
        <f t="shared" si="4"/>
        <v>61.996280223186616</v>
      </c>
    </row>
    <row r="291" spans="6:10" ht="12.75">
      <c r="F291" s="64">
        <v>110</v>
      </c>
      <c r="G291" s="122">
        <v>0.01617</v>
      </c>
      <c r="H291" s="123">
        <f t="shared" si="3"/>
        <v>8.267217068645639</v>
      </c>
      <c r="J291" s="124">
        <f t="shared" si="4"/>
        <v>61.84291898577613</v>
      </c>
    </row>
    <row r="292" spans="6:10" ht="12.75">
      <c r="F292" s="64">
        <v>120</v>
      </c>
      <c r="G292" s="122">
        <v>0.0162</v>
      </c>
      <c r="H292" s="123">
        <f t="shared" si="3"/>
        <v>8.251907407407407</v>
      </c>
      <c r="J292" s="124">
        <f t="shared" si="4"/>
        <v>61.7283950617284</v>
      </c>
    </row>
    <row r="293" spans="6:10" ht="12.75">
      <c r="F293" s="64">
        <v>130</v>
      </c>
      <c r="G293" s="122">
        <v>0.01625</v>
      </c>
      <c r="H293" s="123">
        <f t="shared" si="3"/>
        <v>8.226516923076922</v>
      </c>
      <c r="J293" s="124">
        <f t="shared" si="4"/>
        <v>61.53846153846153</v>
      </c>
    </row>
    <row r="294" spans="6:10" ht="12.75">
      <c r="F294" s="64">
        <v>140</v>
      </c>
      <c r="G294" s="122">
        <v>0.01629</v>
      </c>
      <c r="H294" s="123">
        <f t="shared" si="3"/>
        <v>8.206316758747699</v>
      </c>
      <c r="J294" s="124">
        <f t="shared" si="4"/>
        <v>61.387354205033766</v>
      </c>
    </row>
    <row r="295" spans="6:10" ht="12.75">
      <c r="F295" s="64">
        <v>150</v>
      </c>
      <c r="G295" s="122">
        <v>0.01634</v>
      </c>
      <c r="H295" s="123">
        <f t="shared" si="3"/>
        <v>8.181205630354956</v>
      </c>
      <c r="J295" s="124">
        <f t="shared" si="4"/>
        <v>61.19951040391677</v>
      </c>
    </row>
    <row r="296" spans="6:10" ht="12.75">
      <c r="F296" s="64">
        <v>160</v>
      </c>
      <c r="G296" s="122">
        <v>0.01639</v>
      </c>
      <c r="H296" s="123">
        <f t="shared" si="3"/>
        <v>8.156247712019525</v>
      </c>
      <c r="J296" s="124">
        <f t="shared" si="4"/>
        <v>61.012812690665044</v>
      </c>
    </row>
    <row r="297" spans="6:10" ht="12.75">
      <c r="F297" s="64">
        <v>170</v>
      </c>
      <c r="G297" s="122">
        <v>0.01645</v>
      </c>
      <c r="H297" s="123">
        <f t="shared" si="3"/>
        <v>8.12649848024316</v>
      </c>
      <c r="J297" s="124">
        <f t="shared" si="4"/>
        <v>60.79027355623101</v>
      </c>
    </row>
    <row r="298" spans="6:10" ht="12.75">
      <c r="F298" s="64">
        <v>180</v>
      </c>
      <c r="G298" s="122">
        <v>0.01651</v>
      </c>
      <c r="H298" s="123">
        <f t="shared" si="3"/>
        <v>8.096965475469412</v>
      </c>
      <c r="J298" s="124">
        <f t="shared" si="4"/>
        <v>60.56935190793458</v>
      </c>
    </row>
    <row r="299" spans="6:10" ht="12.75">
      <c r="F299" s="64">
        <v>190</v>
      </c>
      <c r="G299" s="122">
        <v>0.01657</v>
      </c>
      <c r="H299" s="123">
        <f t="shared" si="3"/>
        <v>8.067646348823173</v>
      </c>
      <c r="J299" s="124">
        <f t="shared" si="4"/>
        <v>60.350030175015085</v>
      </c>
    </row>
    <row r="300" spans="6:10" ht="12.75">
      <c r="F300" s="64">
        <v>200</v>
      </c>
      <c r="G300" s="122">
        <v>0.01663</v>
      </c>
      <c r="H300" s="123">
        <f t="shared" si="3"/>
        <v>8.03853878532772</v>
      </c>
      <c r="J300" s="124">
        <f t="shared" si="4"/>
        <v>60.13229104028864</v>
      </c>
    </row>
    <row r="301" spans="6:10" ht="12.75">
      <c r="F301" s="64">
        <v>210</v>
      </c>
      <c r="G301" s="122">
        <v>0.0167</v>
      </c>
      <c r="H301" s="123">
        <f t="shared" si="3"/>
        <v>8.004844311377246</v>
      </c>
      <c r="J301" s="124">
        <f t="shared" si="4"/>
        <v>59.880239520958085</v>
      </c>
    </row>
    <row r="302" spans="6:10" ht="12.75">
      <c r="F302" s="64">
        <v>220</v>
      </c>
      <c r="G302" s="122">
        <v>0.01677</v>
      </c>
      <c r="H302" s="123">
        <f t="shared" si="3"/>
        <v>7.971431127012521</v>
      </c>
      <c r="J302" s="124">
        <f t="shared" si="4"/>
        <v>59.630292188431724</v>
      </c>
    </row>
    <row r="303" spans="6:10" ht="12.75">
      <c r="F303" s="19">
        <v>230</v>
      </c>
      <c r="G303" s="122">
        <v>0.01684</v>
      </c>
      <c r="H303" s="123">
        <f t="shared" si="3"/>
        <v>7.938295724465557</v>
      </c>
      <c r="J303" s="124">
        <f t="shared" si="4"/>
        <v>59.38242280285036</v>
      </c>
    </row>
    <row r="304" spans="6:10" ht="12.75">
      <c r="F304" s="19">
        <v>240</v>
      </c>
      <c r="G304" s="122">
        <v>0.01692</v>
      </c>
      <c r="H304" s="123">
        <f t="shared" si="3"/>
        <v>7.900762411347516</v>
      </c>
      <c r="J304" s="124">
        <f t="shared" si="4"/>
        <v>59.10165484633569</v>
      </c>
    </row>
    <row r="305" spans="6:10" ht="12.75">
      <c r="F305" s="19">
        <v>250</v>
      </c>
      <c r="G305" s="122">
        <v>0.017</v>
      </c>
      <c r="H305" s="123">
        <f t="shared" si="3"/>
        <v>7.863582352941175</v>
      </c>
      <c r="J305" s="124">
        <f t="shared" si="4"/>
        <v>58.8235294117647</v>
      </c>
    </row>
    <row r="306" spans="6:10" ht="12.75">
      <c r="F306" s="19">
        <v>260</v>
      </c>
      <c r="G306" s="122">
        <v>0.01708</v>
      </c>
      <c r="H306" s="123">
        <f t="shared" si="3"/>
        <v>7.8267505854800925</v>
      </c>
      <c r="J306" s="124">
        <f t="shared" si="4"/>
        <v>58.548009367681495</v>
      </c>
    </row>
    <row r="307" spans="6:10" ht="12.75">
      <c r="F307" s="19">
        <v>270</v>
      </c>
      <c r="G307" s="122">
        <v>0.01717</v>
      </c>
      <c r="H307" s="123">
        <f t="shared" si="3"/>
        <v>7.7857251019219555</v>
      </c>
      <c r="J307" s="124">
        <f t="shared" si="4"/>
        <v>58.241118229470004</v>
      </c>
    </row>
    <row r="308" spans="6:10" ht="12.75">
      <c r="F308" s="19">
        <v>280</v>
      </c>
      <c r="G308" s="122">
        <v>0.01726</v>
      </c>
      <c r="H308" s="123">
        <f t="shared" si="3"/>
        <v>7.745127462340671</v>
      </c>
      <c r="J308" s="124">
        <f t="shared" si="4"/>
        <v>57.93742757821553</v>
      </c>
    </row>
    <row r="309" spans="6:10" ht="12.75">
      <c r="F309" s="19">
        <v>290</v>
      </c>
      <c r="G309" s="122">
        <v>0.01735</v>
      </c>
      <c r="H309" s="123">
        <f t="shared" si="3"/>
        <v>7.704951008645533</v>
      </c>
      <c r="J309" s="124">
        <f t="shared" si="4"/>
        <v>57.63688760806916</v>
      </c>
    </row>
    <row r="310" spans="6:10" ht="13.5" thickBot="1">
      <c r="F310" s="21">
        <v>300</v>
      </c>
      <c r="G310" s="125">
        <v>0.01745</v>
      </c>
      <c r="H310" s="126">
        <f t="shared" si="3"/>
        <v>7.660796561604584</v>
      </c>
      <c r="J310" s="127">
        <f t="shared" si="4"/>
        <v>57.306590257879655</v>
      </c>
    </row>
    <row r="315" spans="2:13" ht="12.75">
      <c r="B315" s="58" t="s">
        <v>53</v>
      </c>
      <c r="C315" t="s">
        <v>54</v>
      </c>
      <c r="F315" s="403" t="s">
        <v>124</v>
      </c>
      <c r="G315" s="403"/>
      <c r="H315" s="403"/>
      <c r="I315" s="403"/>
      <c r="J315" s="403"/>
      <c r="K315" s="403"/>
      <c r="L315" s="403"/>
      <c r="M315" s="403"/>
    </row>
    <row r="316" spans="2:13" ht="12.75">
      <c r="B316" s="58" t="s">
        <v>55</v>
      </c>
      <c r="D316" t="s">
        <v>94</v>
      </c>
      <c r="F316" s="403"/>
      <c r="G316" s="403"/>
      <c r="H316" s="403"/>
      <c r="I316" s="403"/>
      <c r="J316" s="403"/>
      <c r="K316" s="403"/>
      <c r="L316" s="403"/>
      <c r="M316" s="403"/>
    </row>
    <row r="317" spans="2:4" ht="12.75">
      <c r="B317" s="58" t="s">
        <v>56</v>
      </c>
      <c r="D317" t="s">
        <v>42</v>
      </c>
    </row>
    <row r="318" spans="2:4" ht="12.75">
      <c r="B318" s="58" t="s">
        <v>57</v>
      </c>
      <c r="C318">
        <v>6</v>
      </c>
      <c r="D318" t="s">
        <v>94</v>
      </c>
    </row>
    <row r="319" spans="2:4" ht="13.5" thickBot="1">
      <c r="B319" s="58" t="s">
        <v>58</v>
      </c>
      <c r="C319">
        <v>321</v>
      </c>
      <c r="D319" t="s">
        <v>42</v>
      </c>
    </row>
    <row r="320" spans="2:15" ht="12.75">
      <c r="B320" s="58" t="s">
        <v>59</v>
      </c>
      <c r="C320">
        <v>330</v>
      </c>
      <c r="G320" s="404" t="s">
        <v>96</v>
      </c>
      <c r="H320" s="405"/>
      <c r="I320" s="405"/>
      <c r="J320" s="405"/>
      <c r="K320" s="405"/>
      <c r="L320" s="405"/>
      <c r="M320" s="405"/>
      <c r="N320" s="405"/>
      <c r="O320" s="406"/>
    </row>
    <row r="321" spans="2:15" ht="13.5" thickBot="1">
      <c r="B321" s="58" t="s">
        <v>60</v>
      </c>
      <c r="C321">
        <v>357</v>
      </c>
      <c r="F321" s="1"/>
      <c r="G321" s="128">
        <v>10</v>
      </c>
      <c r="H321" s="77">
        <v>20</v>
      </c>
      <c r="I321" s="77">
        <v>30</v>
      </c>
      <c r="J321" s="77">
        <v>40</v>
      </c>
      <c r="K321" s="77">
        <v>50</v>
      </c>
      <c r="L321" s="77">
        <v>60</v>
      </c>
      <c r="M321" s="77">
        <v>70</v>
      </c>
      <c r="N321" s="77">
        <v>80</v>
      </c>
      <c r="O321" s="76">
        <v>90</v>
      </c>
    </row>
    <row r="322" spans="2:15" ht="12.75">
      <c r="B322" s="58" t="s">
        <v>61</v>
      </c>
      <c r="C322">
        <v>7</v>
      </c>
      <c r="F322" s="46" t="s">
        <v>97</v>
      </c>
      <c r="G322" s="46" t="s">
        <v>125</v>
      </c>
      <c r="H322" s="46" t="s">
        <v>125</v>
      </c>
      <c r="I322" s="46" t="s">
        <v>125</v>
      </c>
      <c r="J322" s="46" t="s">
        <v>125</v>
      </c>
      <c r="K322" s="46" t="s">
        <v>125</v>
      </c>
      <c r="L322" s="46" t="s">
        <v>125</v>
      </c>
      <c r="M322" s="46" t="s">
        <v>125</v>
      </c>
      <c r="N322" s="46" t="s">
        <v>125</v>
      </c>
      <c r="O322" s="46" t="s">
        <v>125</v>
      </c>
    </row>
    <row r="323" spans="2:15" ht="12.75">
      <c r="B323" s="58" t="s">
        <v>62</v>
      </c>
      <c r="C323">
        <v>15</v>
      </c>
      <c r="F323" s="46" t="s">
        <v>99</v>
      </c>
      <c r="G323" s="46" t="s">
        <v>126</v>
      </c>
      <c r="H323" s="46" t="s">
        <v>126</v>
      </c>
      <c r="I323" s="46" t="s">
        <v>126</v>
      </c>
      <c r="J323" s="46" t="s">
        <v>126</v>
      </c>
      <c r="K323" s="46" t="s">
        <v>126</v>
      </c>
      <c r="L323" s="46" t="s">
        <v>126</v>
      </c>
      <c r="M323" s="46" t="s">
        <v>126</v>
      </c>
      <c r="N323" s="46" t="s">
        <v>126</v>
      </c>
      <c r="O323" s="46" t="s">
        <v>126</v>
      </c>
    </row>
    <row r="324" spans="2:15" ht="12.75">
      <c r="B324" s="58" t="s">
        <v>63</v>
      </c>
      <c r="C324" s="118">
        <v>8.5615934763719</v>
      </c>
      <c r="D324" t="s">
        <v>24</v>
      </c>
      <c r="F324" s="47">
        <v>-30</v>
      </c>
      <c r="G324" s="47"/>
      <c r="H324" s="47"/>
      <c r="I324" s="47"/>
      <c r="J324" s="47"/>
      <c r="K324" s="47">
        <v>9.106343158879755</v>
      </c>
      <c r="L324" s="47">
        <v>9.227992781231201</v>
      </c>
      <c r="M324" s="47">
        <v>9.344295167435332</v>
      </c>
      <c r="N324" s="47">
        <v>9.457923935565804</v>
      </c>
      <c r="O324" s="47"/>
    </row>
    <row r="325" spans="6:15" ht="12.75">
      <c r="F325" s="47">
        <v>-20</v>
      </c>
      <c r="G325" s="47"/>
      <c r="H325" s="47"/>
      <c r="I325" s="47"/>
      <c r="J325" s="47"/>
      <c r="K325" s="47">
        <v>9.09698549562195</v>
      </c>
      <c r="L325" s="47">
        <v>9.218635117973397</v>
      </c>
      <c r="M325" s="47">
        <v>9.333600695140698</v>
      </c>
      <c r="N325" s="47">
        <v>9.444555845197515</v>
      </c>
      <c r="O325" s="47">
        <v>9.55150056814384</v>
      </c>
    </row>
    <row r="326" spans="6:15" ht="12.75">
      <c r="F326" s="47">
        <v>-10</v>
      </c>
      <c r="G326" s="47"/>
      <c r="H326" s="47"/>
      <c r="I326" s="47"/>
      <c r="J326" s="47">
        <v>8.961967782902214</v>
      </c>
      <c r="K326" s="47">
        <v>9.087627832364147</v>
      </c>
      <c r="L326" s="47">
        <v>9.206603836641936</v>
      </c>
      <c r="M326" s="47">
        <v>9.320232604772407</v>
      </c>
      <c r="N326" s="47">
        <v>9.429850945792394</v>
      </c>
      <c r="O326" s="47">
        <v>9.53545885970189</v>
      </c>
    </row>
    <row r="327" spans="6:15" ht="12.75">
      <c r="F327" s="47">
        <v>0</v>
      </c>
      <c r="G327" s="47"/>
      <c r="H327" s="47"/>
      <c r="I327" s="47"/>
      <c r="J327" s="47">
        <v>8.952610119644408</v>
      </c>
      <c r="K327" s="47">
        <v>9.076933360069514</v>
      </c>
      <c r="L327" s="47">
        <v>9.194572555310474</v>
      </c>
      <c r="M327" s="47">
        <v>9.306864514404118</v>
      </c>
      <c r="N327" s="47">
        <v>9.415146046387274</v>
      </c>
      <c r="O327" s="47">
        <v>9.518080342223113</v>
      </c>
    </row>
    <row r="328" spans="6:15" ht="12.75">
      <c r="F328" s="47">
        <v>10</v>
      </c>
      <c r="G328" s="47"/>
      <c r="H328" s="47"/>
      <c r="I328" s="47">
        <v>8.813581979814185</v>
      </c>
      <c r="J328" s="47">
        <v>8.941915647349775</v>
      </c>
      <c r="K328" s="47">
        <v>9.063565269701222</v>
      </c>
      <c r="L328" s="47">
        <v>9.179867655905355</v>
      </c>
      <c r="M328" s="47">
        <v>9.290822805962168</v>
      </c>
      <c r="N328" s="47">
        <v>9.397767528908496</v>
      </c>
      <c r="O328" s="47">
        <v>9.499365015707506</v>
      </c>
    </row>
    <row r="329" spans="4:15" ht="12.75">
      <c r="D329" s="222" t="s">
        <v>202</v>
      </c>
      <c r="F329" s="47">
        <v>20</v>
      </c>
      <c r="G329" s="47"/>
      <c r="H329" s="47">
        <v>8.666532985762982</v>
      </c>
      <c r="I329" s="47">
        <v>8.80288750751955</v>
      </c>
      <c r="J329" s="47">
        <v>8.929884366018314</v>
      </c>
      <c r="K329" s="47">
        <v>9.050197179332933</v>
      </c>
      <c r="L329" s="47">
        <v>9.165162756500234</v>
      </c>
      <c r="M329" s="47">
        <v>9.274781097520219</v>
      </c>
      <c r="N329" s="47">
        <v>9.379052202392888</v>
      </c>
      <c r="O329" s="47">
        <v>9.4806496891919</v>
      </c>
    </row>
    <row r="330" spans="6:15" ht="12.75">
      <c r="F330" s="47">
        <v>30</v>
      </c>
      <c r="G330" s="47">
        <v>8.514136755564467</v>
      </c>
      <c r="H330" s="47">
        <v>8.655838513468352</v>
      </c>
      <c r="I330" s="47">
        <v>8.79085622618809</v>
      </c>
      <c r="J330" s="47">
        <v>8.916516275650023</v>
      </c>
      <c r="K330" s="47">
        <v>9.035492279927812</v>
      </c>
      <c r="L330" s="47">
        <v>9.149121048058284</v>
      </c>
      <c r="M330" s="47">
        <v>9.257402580041441</v>
      </c>
      <c r="N330" s="47">
        <v>9.36033687587728</v>
      </c>
      <c r="O330" s="47">
        <v>9.459260744602634</v>
      </c>
    </row>
    <row r="331" spans="6:15" ht="12.75">
      <c r="F331" s="47">
        <v>40</v>
      </c>
      <c r="G331" s="47">
        <v>8.503442283269834</v>
      </c>
      <c r="H331" s="47">
        <v>8.643807232136888</v>
      </c>
      <c r="I331" s="47">
        <v>8.777488135819798</v>
      </c>
      <c r="J331" s="47">
        <v>8.901811376244904</v>
      </c>
      <c r="K331" s="47">
        <v>9.019450571485862</v>
      </c>
      <c r="L331" s="47">
        <v>9.131742530579507</v>
      </c>
      <c r="M331" s="47">
        <v>9.237350444489003</v>
      </c>
      <c r="N331" s="47">
        <v>9.338947931288015</v>
      </c>
      <c r="O331" s="47">
        <v>9.43653499097654</v>
      </c>
    </row>
    <row r="332" spans="6:15" ht="12.75">
      <c r="F332" s="47">
        <v>50</v>
      </c>
      <c r="G332" s="47">
        <v>8.491411001938374</v>
      </c>
      <c r="H332" s="47">
        <v>8.630439141768598</v>
      </c>
      <c r="I332" s="47">
        <v>8.762783236414677</v>
      </c>
      <c r="J332" s="47">
        <v>8.885769667802954</v>
      </c>
      <c r="K332" s="47">
        <v>9.002072054007085</v>
      </c>
      <c r="L332" s="47">
        <v>9.113027204063899</v>
      </c>
      <c r="M332" s="47">
        <v>9.217298308936568</v>
      </c>
      <c r="N332" s="47">
        <v>9.317558986698751</v>
      </c>
      <c r="O332" s="47">
        <v>9.413809237350444</v>
      </c>
    </row>
    <row r="333" spans="6:15" ht="12.75">
      <c r="F333" s="47">
        <v>60</v>
      </c>
      <c r="G333" s="47">
        <v>8.478042911570082</v>
      </c>
      <c r="H333" s="47">
        <v>8.615734242363478</v>
      </c>
      <c r="I333" s="47">
        <v>8.74674152797273</v>
      </c>
      <c r="J333" s="47">
        <v>8.868391150324177</v>
      </c>
      <c r="K333" s="47">
        <v>8.983356727491477</v>
      </c>
      <c r="L333" s="47">
        <v>9.092975068511462</v>
      </c>
      <c r="M333" s="47">
        <v>9.195909364347303</v>
      </c>
      <c r="N333" s="47">
        <v>9.294833233072655</v>
      </c>
      <c r="O333" s="47">
        <v>9.388409865650692</v>
      </c>
    </row>
    <row r="334" spans="6:15" ht="12.75">
      <c r="F334" s="47">
        <v>70</v>
      </c>
      <c r="G334" s="47">
        <v>8.463338012164963</v>
      </c>
      <c r="H334" s="47">
        <v>8.599692533921528</v>
      </c>
      <c r="I334" s="47">
        <v>8.72936301049395</v>
      </c>
      <c r="J334" s="47">
        <v>8.84967582380857</v>
      </c>
      <c r="K334" s="47">
        <v>8.96330459193904</v>
      </c>
      <c r="L334" s="47">
        <v>9.071586123922197</v>
      </c>
      <c r="M334" s="47">
        <v>9.173183610721209</v>
      </c>
      <c r="N334" s="47">
        <v>9.270770670409732</v>
      </c>
      <c r="O334" s="47">
        <v>9.36301049395094</v>
      </c>
    </row>
    <row r="335" spans="6:15" ht="12.75">
      <c r="F335" s="47">
        <v>80</v>
      </c>
      <c r="G335" s="47">
        <v>8.447296303723013</v>
      </c>
      <c r="H335" s="47">
        <v>8.583650825479578</v>
      </c>
      <c r="I335" s="47">
        <v>8.711984493015173</v>
      </c>
      <c r="J335" s="47">
        <v>8.829623688256133</v>
      </c>
      <c r="K335" s="47">
        <v>8.943252456386606</v>
      </c>
      <c r="L335" s="47">
        <v>9.048860370296103</v>
      </c>
      <c r="M335" s="47">
        <v>9.149121048058284</v>
      </c>
      <c r="N335" s="47">
        <v>9.244034489673151</v>
      </c>
      <c r="O335" s="47">
        <v>9.334937504177528</v>
      </c>
    </row>
    <row r="336" spans="6:15" ht="12.75">
      <c r="F336" s="47">
        <v>90</v>
      </c>
      <c r="G336" s="47">
        <v>8.431254595281064</v>
      </c>
      <c r="H336" s="47">
        <v>8.564935498963973</v>
      </c>
      <c r="I336" s="47">
        <v>8.691932357462736</v>
      </c>
      <c r="J336" s="47">
        <v>8.809571552703696</v>
      </c>
      <c r="K336" s="47">
        <v>8.920526702760512</v>
      </c>
      <c r="L336" s="47">
        <v>9.02479780763318</v>
      </c>
      <c r="M336" s="47">
        <v>9.123721676358532</v>
      </c>
      <c r="N336" s="47">
        <v>9.217298308936568</v>
      </c>
      <c r="O336" s="47">
        <v>9.306864514404118</v>
      </c>
    </row>
    <row r="337" spans="6:15" ht="12.75">
      <c r="F337" s="47">
        <v>100</v>
      </c>
      <c r="G337" s="47">
        <v>8.412539268765457</v>
      </c>
      <c r="H337" s="47">
        <v>8.546220172448365</v>
      </c>
      <c r="I337" s="47">
        <v>8.67054341287347</v>
      </c>
      <c r="J337" s="47">
        <v>8.786845799077602</v>
      </c>
      <c r="K337" s="47">
        <v>8.896464140097587</v>
      </c>
      <c r="L337" s="47">
        <v>8.999398435933426</v>
      </c>
      <c r="M337" s="47">
        <v>9.09698549562195</v>
      </c>
      <c r="N337" s="47">
        <v>9.189225319163157</v>
      </c>
      <c r="O337" s="47">
        <v>9.277454715593878</v>
      </c>
    </row>
    <row r="338" spans="6:15" ht="12.75">
      <c r="F338" s="47">
        <v>110</v>
      </c>
      <c r="G338" s="47">
        <v>8.393823942249849</v>
      </c>
      <c r="H338" s="47">
        <v>8.524831227859101</v>
      </c>
      <c r="I338" s="47">
        <v>8.649154468284205</v>
      </c>
      <c r="J338" s="47">
        <v>8.764120045451508</v>
      </c>
      <c r="K338" s="47">
        <v>8.872401577434664</v>
      </c>
      <c r="L338" s="47">
        <v>8.973999064233674</v>
      </c>
      <c r="M338" s="47">
        <v>9.06891250584854</v>
      </c>
      <c r="N338" s="47">
        <v>9.159815520352916</v>
      </c>
      <c r="O338" s="47">
        <v>9.246708107746809</v>
      </c>
    </row>
    <row r="339" spans="6:15" ht="12.75">
      <c r="F339" s="47">
        <v>120</v>
      </c>
      <c r="G339" s="47">
        <v>8.372434997660584</v>
      </c>
      <c r="H339" s="47">
        <v>8.503442283269834</v>
      </c>
      <c r="I339" s="47">
        <v>8.62509190562128</v>
      </c>
      <c r="J339" s="47">
        <v>8.738720673751756</v>
      </c>
      <c r="K339" s="47">
        <v>8.845665396698081</v>
      </c>
      <c r="L339" s="47">
        <v>8.945926074460264</v>
      </c>
      <c r="M339" s="47">
        <v>9.040839516075128</v>
      </c>
      <c r="N339" s="47">
        <v>9.129068912505849</v>
      </c>
      <c r="O339" s="47">
        <v>9.213287881826082</v>
      </c>
    </row>
    <row r="340" spans="6:15" ht="12.75">
      <c r="F340" s="47">
        <v>130</v>
      </c>
      <c r="G340" s="47">
        <v>8.351046053071318</v>
      </c>
      <c r="H340" s="47">
        <v>8.47937972060691</v>
      </c>
      <c r="I340" s="47">
        <v>8.601029342958359</v>
      </c>
      <c r="J340" s="47">
        <v>8.713321302052002</v>
      </c>
      <c r="K340" s="47">
        <v>8.8189292159615</v>
      </c>
      <c r="L340" s="47">
        <v>8.917853084686852</v>
      </c>
      <c r="M340" s="47">
        <v>9.01009290822806</v>
      </c>
      <c r="N340" s="47">
        <v>9.09698549562195</v>
      </c>
      <c r="O340" s="47">
        <v>9.179867655905355</v>
      </c>
    </row>
    <row r="341" spans="6:15" ht="12.75">
      <c r="F341" s="47">
        <v>140</v>
      </c>
      <c r="G341" s="47">
        <v>8.328320299445224</v>
      </c>
      <c r="H341" s="47">
        <v>8.455317157943988</v>
      </c>
      <c r="I341" s="47">
        <v>8.575629971258607</v>
      </c>
      <c r="J341" s="47">
        <v>8.68658512131542</v>
      </c>
      <c r="K341" s="47">
        <v>8.78951941715126</v>
      </c>
      <c r="L341" s="47">
        <v>8.887106476839783</v>
      </c>
      <c r="M341" s="47">
        <v>8.97800949134416</v>
      </c>
      <c r="N341" s="47">
        <v>9.064902078738053</v>
      </c>
      <c r="O341" s="47">
        <v>9.145110620947797</v>
      </c>
    </row>
    <row r="342" spans="6:15" ht="12.75">
      <c r="F342" s="47">
        <v>150</v>
      </c>
      <c r="G342" s="47">
        <v>8.302920927745472</v>
      </c>
      <c r="H342" s="47">
        <v>8.429917786244236</v>
      </c>
      <c r="I342" s="47">
        <v>8.548893790522024</v>
      </c>
      <c r="J342" s="47">
        <v>8.65717532250518</v>
      </c>
      <c r="K342" s="47">
        <v>8.76010961834102</v>
      </c>
      <c r="L342" s="47">
        <v>8.856359868992714</v>
      </c>
      <c r="M342" s="47">
        <v>8.945926074460264</v>
      </c>
      <c r="N342" s="47">
        <v>9.030145043780495</v>
      </c>
      <c r="O342" s="47">
        <v>9.109016776953412</v>
      </c>
    </row>
    <row r="343" spans="6:15" ht="12.75">
      <c r="F343" s="47">
        <v>160</v>
      </c>
      <c r="G343" s="47">
        <v>8.27752155604572</v>
      </c>
      <c r="H343" s="47">
        <v>8.403181605507653</v>
      </c>
      <c r="I343" s="47">
        <v>8.519483991711784</v>
      </c>
      <c r="J343" s="47">
        <v>8.62776552369494</v>
      </c>
      <c r="K343" s="47">
        <v>8.72936301049395</v>
      </c>
      <c r="L343" s="47">
        <v>8.822939643071987</v>
      </c>
      <c r="M343" s="47">
        <v>8.911169039502706</v>
      </c>
      <c r="N343" s="47">
        <v>8.99405119978611</v>
      </c>
      <c r="O343" s="47">
        <v>9.071586123922197</v>
      </c>
    </row>
    <row r="344" spans="6:15" ht="12.75">
      <c r="F344" s="47">
        <v>170</v>
      </c>
      <c r="G344" s="47">
        <v>8.250785375309137</v>
      </c>
      <c r="H344" s="47">
        <v>8.373771806697413</v>
      </c>
      <c r="I344" s="47">
        <v>8.490074192901544</v>
      </c>
      <c r="J344" s="47">
        <v>8.59701891584787</v>
      </c>
      <c r="K344" s="47">
        <v>8.695942784573223</v>
      </c>
      <c r="L344" s="47">
        <v>8.78951941715126</v>
      </c>
      <c r="M344" s="47">
        <v>8.876412004545152</v>
      </c>
      <c r="N344" s="47">
        <v>8.957957355791725</v>
      </c>
      <c r="O344" s="47">
        <v>9.034155470890983</v>
      </c>
    </row>
    <row r="345" spans="6:15" ht="12.75">
      <c r="F345" s="47">
        <v>180</v>
      </c>
      <c r="G345" s="47">
        <v>8.222712385535726</v>
      </c>
      <c r="H345" s="47">
        <v>8.344362007887174</v>
      </c>
      <c r="I345" s="47">
        <v>8.459327585054474</v>
      </c>
      <c r="J345" s="47">
        <v>8.564935498963973</v>
      </c>
      <c r="K345" s="47">
        <v>8.662522558652496</v>
      </c>
      <c r="L345" s="47">
        <v>8.754762382193702</v>
      </c>
      <c r="M345" s="47">
        <v>8.838981351513937</v>
      </c>
      <c r="N345" s="47">
        <v>8.919189893723681</v>
      </c>
      <c r="O345" s="47">
        <v>8.99405119978611</v>
      </c>
    </row>
    <row r="346" spans="6:15" ht="12.75">
      <c r="F346" s="47">
        <v>190</v>
      </c>
      <c r="G346" s="47">
        <v>8.193302586725485</v>
      </c>
      <c r="H346" s="47">
        <v>8.313615400040105</v>
      </c>
      <c r="I346" s="47">
        <v>8.427244168170576</v>
      </c>
      <c r="J346" s="47">
        <v>8.531515273043246</v>
      </c>
      <c r="K346" s="47">
        <v>8.62776552369494</v>
      </c>
      <c r="L346" s="47">
        <v>8.717331729162488</v>
      </c>
      <c r="M346" s="47">
        <v>8.801550698482721</v>
      </c>
      <c r="N346" s="47">
        <v>8.87908562261881</v>
      </c>
      <c r="O346" s="47">
        <v>8.952610119644408</v>
      </c>
    </row>
    <row r="347" spans="6:15" ht="12.75">
      <c r="F347" s="47">
        <v>200</v>
      </c>
      <c r="G347" s="47">
        <v>8.162555978878418</v>
      </c>
      <c r="H347" s="47">
        <v>8.281531983156206</v>
      </c>
      <c r="I347" s="47">
        <v>8.393823942249849</v>
      </c>
      <c r="J347" s="47">
        <v>8.49675823808569</v>
      </c>
      <c r="K347" s="47">
        <v>8.591671679700553</v>
      </c>
      <c r="L347" s="47">
        <v>8.679901076131275</v>
      </c>
      <c r="M347" s="47">
        <v>8.762783236414677</v>
      </c>
      <c r="N347" s="47">
        <v>8.838981351513937</v>
      </c>
      <c r="O347" s="47">
        <v>8.909832230465879</v>
      </c>
    </row>
    <row r="348" spans="6:15" ht="12.75">
      <c r="F348" s="47">
        <v>210</v>
      </c>
      <c r="G348" s="47">
        <v>8.13047256199452</v>
      </c>
      <c r="H348" s="47">
        <v>8.249448566272308</v>
      </c>
      <c r="I348" s="47">
        <v>8.359066907292293</v>
      </c>
      <c r="J348" s="47">
        <v>8.460664394091303</v>
      </c>
      <c r="K348" s="47">
        <v>8.55424102666934</v>
      </c>
      <c r="L348" s="47">
        <v>8.64113361406323</v>
      </c>
      <c r="M348" s="47">
        <v>8.721342156272975</v>
      </c>
      <c r="N348" s="47">
        <v>8.797540271372235</v>
      </c>
      <c r="O348" s="47">
        <v>8.867054341287346</v>
      </c>
    </row>
    <row r="349" spans="6:15" ht="12.75">
      <c r="F349" s="47">
        <v>220</v>
      </c>
      <c r="G349" s="47">
        <v>8.097052336073792</v>
      </c>
      <c r="H349" s="47">
        <v>8.214691531314752</v>
      </c>
      <c r="I349" s="47">
        <v>8.324309872334737</v>
      </c>
      <c r="J349" s="47">
        <v>8.42323374106009</v>
      </c>
      <c r="K349" s="47">
        <v>8.515473564601297</v>
      </c>
      <c r="L349" s="47">
        <v>8.601029342958359</v>
      </c>
      <c r="M349" s="47">
        <v>8.679901076131275</v>
      </c>
      <c r="N349" s="47">
        <v>8.753425573156875</v>
      </c>
      <c r="O349" s="47">
        <v>8.821602834035158</v>
      </c>
    </row>
    <row r="350" spans="6:15" ht="12.75">
      <c r="F350" s="47">
        <v>230</v>
      </c>
      <c r="G350" s="47">
        <v>8.062295301116235</v>
      </c>
      <c r="H350" s="47">
        <v>8.178597687320366</v>
      </c>
      <c r="I350" s="47">
        <v>8.286879219303522</v>
      </c>
      <c r="J350" s="47">
        <v>8.384466278992045</v>
      </c>
      <c r="K350" s="47">
        <v>8.475369293496424</v>
      </c>
      <c r="L350" s="47">
        <v>8.559588262816657</v>
      </c>
      <c r="M350" s="47">
        <v>8.637123186952744</v>
      </c>
      <c r="N350" s="47">
        <v>8.709310874941515</v>
      </c>
      <c r="O350" s="47">
        <v>8.77615132678297</v>
      </c>
    </row>
    <row r="351" spans="6:15" ht="12.75">
      <c r="F351" s="47">
        <v>240</v>
      </c>
      <c r="G351" s="47">
        <v>8.027538266158679</v>
      </c>
      <c r="H351" s="47">
        <v>8.141167034289152</v>
      </c>
      <c r="I351" s="47">
        <v>8.24811175723548</v>
      </c>
      <c r="J351" s="47">
        <v>8.345698816924003</v>
      </c>
      <c r="K351" s="47">
        <v>8.435265022391551</v>
      </c>
      <c r="L351" s="47">
        <v>8.516810373638126</v>
      </c>
      <c r="M351" s="47">
        <v>8.593008488737384</v>
      </c>
      <c r="N351" s="47">
        <v>8.663859367689327</v>
      </c>
      <c r="O351" s="47">
        <v>8.728026201457123</v>
      </c>
    </row>
    <row r="352" spans="6:15" ht="12.75">
      <c r="F352" s="47">
        <v>250</v>
      </c>
      <c r="G352" s="47">
        <v>7.990107613127465</v>
      </c>
      <c r="H352" s="47">
        <v>8.103736381257937</v>
      </c>
      <c r="I352" s="47">
        <v>8.208007486130606</v>
      </c>
      <c r="J352" s="47">
        <v>8.3042577367823</v>
      </c>
      <c r="K352" s="47">
        <v>8.39248713321302</v>
      </c>
      <c r="L352" s="47">
        <v>8.474032484459595</v>
      </c>
      <c r="M352" s="47">
        <v>8.547556981485194</v>
      </c>
      <c r="N352" s="47">
        <v>8.617071051400307</v>
      </c>
      <c r="O352" s="47">
        <v>8.679901076131275</v>
      </c>
    </row>
    <row r="353" spans="6:15" ht="12.75">
      <c r="F353" s="47">
        <v>260</v>
      </c>
      <c r="G353" s="47">
        <v>7.951634407883965</v>
      </c>
      <c r="H353" s="47">
        <v>8.068745541327985</v>
      </c>
      <c r="I353" s="47">
        <v>8.167203999044983</v>
      </c>
      <c r="J353" s="47">
        <v>8.261774104428314</v>
      </c>
      <c r="K353" s="47">
        <v>8.350322783065302</v>
      </c>
      <c r="L353" s="47">
        <v>8.425768493322105</v>
      </c>
      <c r="M353" s="47">
        <v>8.501016929177462</v>
      </c>
      <c r="N353" s="47">
        <v>8.568547092115235</v>
      </c>
      <c r="O353" s="47">
        <v>8.62698227426295</v>
      </c>
    </row>
    <row r="354" spans="6:15" ht="12.75">
      <c r="F354" s="47">
        <v>270</v>
      </c>
      <c r="G354" s="47">
        <v>7.912115767844128</v>
      </c>
      <c r="H354" s="47">
        <v>8.028625491983423</v>
      </c>
      <c r="I354" s="47">
        <v>8.124980711706836</v>
      </c>
      <c r="J354" s="47">
        <v>8.21824503727799</v>
      </c>
      <c r="K354" s="47">
        <v>8.30585571502707</v>
      </c>
      <c r="L354" s="47">
        <v>8.379313860529777</v>
      </c>
      <c r="M354" s="47">
        <v>8.453018910396496</v>
      </c>
      <c r="N354" s="47">
        <v>8.518988775418622</v>
      </c>
      <c r="O354" s="47">
        <v>8.57562626379146</v>
      </c>
    </row>
    <row r="355" spans="6:15" ht="12.75">
      <c r="F355" s="47">
        <v>280</v>
      </c>
      <c r="G355" s="47">
        <v>7.871338171666599</v>
      </c>
      <c r="H355" s="47">
        <v>7.987334853419957</v>
      </c>
      <c r="I355" s="47">
        <v>8.081484275183744</v>
      </c>
      <c r="J355" s="47">
        <v>8.173457013989973</v>
      </c>
      <c r="K355" s="47">
        <v>8.260221355984225</v>
      </c>
      <c r="L355" s="47">
        <v>8.331632780080477</v>
      </c>
      <c r="M355" s="47">
        <v>8.403756488072187</v>
      </c>
      <c r="N355" s="47">
        <v>8.468146944393558</v>
      </c>
      <c r="O355" s="47">
        <v>8.523002463531581</v>
      </c>
    </row>
    <row r="356" spans="6:15" ht="12.75">
      <c r="F356" s="47">
        <v>290</v>
      </c>
      <c r="G356" s="47">
        <v>7.829301532105339</v>
      </c>
      <c r="H356" s="47">
        <v>7.944879781927144</v>
      </c>
      <c r="I356" s="47">
        <v>8.03671308633233</v>
      </c>
      <c r="J356" s="47">
        <v>8.127409947318228</v>
      </c>
      <c r="K356" s="47">
        <v>8.213426974611323</v>
      </c>
      <c r="L356" s="47">
        <v>8.282728349203797</v>
      </c>
      <c r="M356" s="47">
        <v>8.353229373202726</v>
      </c>
      <c r="N356" s="47">
        <v>8.416018621773544</v>
      </c>
      <c r="O356" s="47">
        <v>8.469110459065035</v>
      </c>
    </row>
    <row r="357" spans="6:15" ht="12.75">
      <c r="F357" s="47">
        <v>300</v>
      </c>
      <c r="G357" s="47">
        <v>7.78600576191431</v>
      </c>
      <c r="H357" s="47">
        <v>7.901266433794532</v>
      </c>
      <c r="I357" s="47">
        <v>7.990665542009223</v>
      </c>
      <c r="J357" s="47">
        <v>8.08010375001671</v>
      </c>
      <c r="K357" s="47">
        <v>8.165479839582915</v>
      </c>
      <c r="L357" s="47">
        <v>8.232603665129336</v>
      </c>
      <c r="M357" s="47">
        <v>8.301437276786311</v>
      </c>
      <c r="N357" s="47">
        <v>8.362600830292093</v>
      </c>
      <c r="O357" s="47">
        <v>8.413949835973531</v>
      </c>
    </row>
    <row r="365" spans="2:13" ht="12.75">
      <c r="B365" s="58" t="s">
        <v>53</v>
      </c>
      <c r="C365" t="s">
        <v>54</v>
      </c>
      <c r="F365" s="403" t="s">
        <v>127</v>
      </c>
      <c r="G365" s="403"/>
      <c r="H365" s="403"/>
      <c r="I365" s="403"/>
      <c r="J365" s="403"/>
      <c r="K365" s="403"/>
      <c r="L365" s="403"/>
      <c r="M365" s="403"/>
    </row>
    <row r="366" spans="2:13" ht="12.75">
      <c r="B366" s="58" t="s">
        <v>55</v>
      </c>
      <c r="D366" t="s">
        <v>94</v>
      </c>
      <c r="F366" s="403"/>
      <c r="G366" s="403"/>
      <c r="H366" s="403"/>
      <c r="I366" s="403"/>
      <c r="J366" s="403"/>
      <c r="K366" s="403"/>
      <c r="L366" s="403"/>
      <c r="M366" s="403"/>
    </row>
    <row r="367" spans="2:4" ht="12.75">
      <c r="B367" s="58" t="s">
        <v>56</v>
      </c>
      <c r="D367" t="s">
        <v>42</v>
      </c>
    </row>
    <row r="368" spans="2:4" ht="12.75">
      <c r="B368" s="58" t="s">
        <v>57</v>
      </c>
      <c r="C368">
        <v>6</v>
      </c>
      <c r="D368" t="s">
        <v>94</v>
      </c>
    </row>
    <row r="369" spans="2:4" ht="13.5" thickBot="1">
      <c r="B369" s="58" t="s">
        <v>58</v>
      </c>
      <c r="C369">
        <v>371</v>
      </c>
      <c r="D369" t="s">
        <v>42</v>
      </c>
    </row>
    <row r="370" spans="2:15" ht="12.75">
      <c r="B370" s="58" t="s">
        <v>59</v>
      </c>
      <c r="C370">
        <v>380</v>
      </c>
      <c r="G370" s="404" t="s">
        <v>96</v>
      </c>
      <c r="H370" s="405"/>
      <c r="I370" s="405"/>
      <c r="J370" s="405"/>
      <c r="K370" s="405"/>
      <c r="L370" s="405"/>
      <c r="M370" s="405"/>
      <c r="N370" s="405"/>
      <c r="O370" s="406"/>
    </row>
    <row r="371" spans="2:15" ht="13.5" thickBot="1">
      <c r="B371" s="58" t="s">
        <v>60</v>
      </c>
      <c r="C371">
        <v>407</v>
      </c>
      <c r="F371" s="1"/>
      <c r="G371" s="128">
        <v>10</v>
      </c>
      <c r="H371" s="77">
        <v>20</v>
      </c>
      <c r="I371" s="77">
        <v>30</v>
      </c>
      <c r="J371" s="77">
        <v>40</v>
      </c>
      <c r="K371" s="77">
        <v>50</v>
      </c>
      <c r="L371" s="77">
        <v>60</v>
      </c>
      <c r="M371" s="77">
        <v>70</v>
      </c>
      <c r="N371" s="77">
        <v>80</v>
      </c>
      <c r="O371" s="76">
        <v>90</v>
      </c>
    </row>
    <row r="372" spans="2:15" ht="12.75">
      <c r="B372" s="58" t="s">
        <v>61</v>
      </c>
      <c r="C372">
        <v>7</v>
      </c>
      <c r="F372" s="46" t="s">
        <v>97</v>
      </c>
      <c r="G372" s="46" t="s">
        <v>125</v>
      </c>
      <c r="H372" s="46" t="s">
        <v>125</v>
      </c>
      <c r="I372" s="46" t="s">
        <v>125</v>
      </c>
      <c r="J372" s="46" t="s">
        <v>125</v>
      </c>
      <c r="K372" s="46" t="s">
        <v>125</v>
      </c>
      <c r="L372" s="46" t="s">
        <v>125</v>
      </c>
      <c r="M372" s="46" t="s">
        <v>125</v>
      </c>
      <c r="N372" s="46" t="s">
        <v>125</v>
      </c>
      <c r="O372" s="46" t="s">
        <v>125</v>
      </c>
    </row>
    <row r="373" spans="2:15" ht="12.75">
      <c r="B373" s="58" t="s">
        <v>62</v>
      </c>
      <c r="C373">
        <v>15</v>
      </c>
      <c r="F373" s="46" t="s">
        <v>99</v>
      </c>
      <c r="G373" s="46" t="s">
        <v>126</v>
      </c>
      <c r="H373" s="46" t="s">
        <v>126</v>
      </c>
      <c r="I373" s="46" t="s">
        <v>126</v>
      </c>
      <c r="J373" s="46" t="s">
        <v>126</v>
      </c>
      <c r="K373" s="46" t="s">
        <v>126</v>
      </c>
      <c r="L373" s="46" t="s">
        <v>126</v>
      </c>
      <c r="M373" s="46" t="s">
        <v>126</v>
      </c>
      <c r="N373" s="46" t="s">
        <v>126</v>
      </c>
      <c r="O373" s="46" t="s">
        <v>126</v>
      </c>
    </row>
    <row r="374" spans="2:15" ht="12.75">
      <c r="B374" s="58" t="s">
        <v>63</v>
      </c>
      <c r="C374" s="118">
        <v>8.406523628099727</v>
      </c>
      <c r="D374" t="s">
        <v>24</v>
      </c>
      <c r="F374" s="1">
        <v>-30</v>
      </c>
      <c r="G374" s="1"/>
      <c r="H374" s="1"/>
      <c r="I374" s="1"/>
      <c r="J374" s="1"/>
      <c r="K374" s="1">
        <v>0</v>
      </c>
      <c r="L374" s="1">
        <v>8.96330459193904</v>
      </c>
      <c r="M374" s="1">
        <v>9.019450571485862</v>
      </c>
      <c r="N374" s="1">
        <v>9.14110019383731</v>
      </c>
      <c r="O374" s="1"/>
    </row>
    <row r="375" spans="6:15" ht="12.75">
      <c r="F375" s="1">
        <v>-20</v>
      </c>
      <c r="G375" s="1"/>
      <c r="H375" s="1"/>
      <c r="I375" s="1"/>
      <c r="J375" s="1"/>
      <c r="K375" s="1">
        <v>8.884432858766123</v>
      </c>
      <c r="L375" s="1">
        <v>8.947262883497093</v>
      </c>
      <c r="M375" s="1">
        <v>9.002072054007085</v>
      </c>
      <c r="N375" s="1">
        <v>9.107679967916582</v>
      </c>
      <c r="O375" s="1">
        <v>9.090301450437805</v>
      </c>
    </row>
    <row r="376" spans="6:15" ht="12.75">
      <c r="F376" s="1">
        <v>-10</v>
      </c>
      <c r="G376" s="1"/>
      <c r="H376" s="1"/>
      <c r="I376" s="1"/>
      <c r="J376" s="1">
        <v>0</v>
      </c>
      <c r="K376" s="1">
        <v>8.869727959361004</v>
      </c>
      <c r="L376" s="1">
        <v>8.931221175055143</v>
      </c>
      <c r="M376" s="1">
        <v>8.983356727491477</v>
      </c>
      <c r="N376" s="1">
        <v>9.072922932959028</v>
      </c>
      <c r="O376" s="1">
        <v>9.056881224517078</v>
      </c>
    </row>
    <row r="377" spans="6:15" ht="12.75">
      <c r="F377" s="1">
        <v>0</v>
      </c>
      <c r="G377" s="1"/>
      <c r="H377" s="1"/>
      <c r="I377" s="1"/>
      <c r="J377" s="1">
        <v>8.784172181003942</v>
      </c>
      <c r="K377" s="1">
        <v>8.853686250919056</v>
      </c>
      <c r="L377" s="1">
        <v>8.913842657576366</v>
      </c>
      <c r="M377" s="1">
        <v>8.96330459193904</v>
      </c>
      <c r="N377" s="1">
        <v>9.0395027070383</v>
      </c>
      <c r="O377" s="1">
        <v>9.02212418955952</v>
      </c>
    </row>
    <row r="378" spans="6:15" ht="12.75">
      <c r="F378" s="1">
        <v>10</v>
      </c>
      <c r="G378" s="1"/>
      <c r="H378" s="1"/>
      <c r="I378" s="1">
        <v>8.689258739389079</v>
      </c>
      <c r="J378" s="1">
        <v>8.769467281598823</v>
      </c>
      <c r="K378" s="1">
        <v>8.837644542477108</v>
      </c>
      <c r="L378" s="1">
        <v>8.895127331060758</v>
      </c>
      <c r="M378" s="1">
        <v>8.941915647349775</v>
      </c>
      <c r="N378" s="1">
        <v>9.004745672080743</v>
      </c>
      <c r="O378" s="1">
        <v>8.987367154601966</v>
      </c>
    </row>
    <row r="379" spans="6:15" ht="12.75">
      <c r="F379" s="1">
        <v>20</v>
      </c>
      <c r="G379" s="1"/>
      <c r="H379" s="1">
        <v>8.586324443553238</v>
      </c>
      <c r="I379" s="1">
        <v>8.675890649020788</v>
      </c>
      <c r="J379" s="1">
        <v>8.753425573156875</v>
      </c>
      <c r="K379" s="1">
        <v>8.8189292159615</v>
      </c>
      <c r="L379" s="1">
        <v>8.873738386471492</v>
      </c>
      <c r="M379" s="1">
        <v>8.919189893723681</v>
      </c>
      <c r="N379" s="1">
        <v>8.969988637123185</v>
      </c>
      <c r="O379" s="1">
        <v>8.952610119644408</v>
      </c>
    </row>
    <row r="380" spans="6:15" ht="12.75">
      <c r="F380" s="1">
        <v>30</v>
      </c>
      <c r="G380" s="1">
        <v>8.528841654969588</v>
      </c>
      <c r="H380" s="1">
        <v>8.17325045117305</v>
      </c>
      <c r="I380" s="1">
        <v>8.661185749615669</v>
      </c>
      <c r="J380" s="1">
        <v>8.736047055678096</v>
      </c>
      <c r="K380" s="1">
        <v>8.798877080409062</v>
      </c>
      <c r="L380" s="1">
        <v>8.852349441882227</v>
      </c>
      <c r="M380" s="1">
        <v>8.895127331060758</v>
      </c>
      <c r="N380" s="1">
        <v>8.9338947931288</v>
      </c>
      <c r="O380" s="1">
        <v>8.917853084686852</v>
      </c>
    </row>
    <row r="381" spans="6:15" ht="12.75">
      <c r="F381" s="1">
        <v>40</v>
      </c>
      <c r="G381" s="1">
        <v>8.462001203128132</v>
      </c>
      <c r="H381" s="1">
        <v>8.559588262816657</v>
      </c>
      <c r="I381" s="1">
        <v>8.645144041173719</v>
      </c>
      <c r="J381" s="1">
        <v>8.717331729162488</v>
      </c>
      <c r="K381" s="1">
        <v>8.778824944856627</v>
      </c>
      <c r="L381" s="1">
        <v>8.829623688256133</v>
      </c>
      <c r="M381" s="1">
        <v>8.869727959361004</v>
      </c>
      <c r="N381" s="1">
        <v>8.899137758171245</v>
      </c>
      <c r="O381" s="1">
        <v>8.881759240692467</v>
      </c>
    </row>
    <row r="382" spans="6:15" ht="12.75">
      <c r="F382" s="1">
        <v>50</v>
      </c>
      <c r="G382" s="1">
        <v>8.448633112759843</v>
      </c>
      <c r="H382" s="1">
        <v>8.544883363411536</v>
      </c>
      <c r="I382" s="1">
        <v>8.626428714658111</v>
      </c>
      <c r="J382" s="1">
        <v>8.697279593610054</v>
      </c>
      <c r="K382" s="1">
        <v>8.756099191230533</v>
      </c>
      <c r="L382" s="1">
        <v>8.80556112559321</v>
      </c>
      <c r="M382" s="1">
        <v>8.844328587661252</v>
      </c>
      <c r="N382" s="1">
        <v>8.86304391417686</v>
      </c>
      <c r="O382" s="1">
        <v>8.847002205734912</v>
      </c>
    </row>
    <row r="383" spans="6:15" ht="12.75">
      <c r="F383" s="1">
        <v>60</v>
      </c>
      <c r="G383" s="1">
        <v>8.435265022391551</v>
      </c>
      <c r="H383" s="1">
        <v>8.527504845932759</v>
      </c>
      <c r="I383" s="1">
        <v>8.607713388142503</v>
      </c>
      <c r="J383" s="1">
        <v>8.675890649020788</v>
      </c>
      <c r="K383" s="1">
        <v>8.733373437604438</v>
      </c>
      <c r="L383" s="1">
        <v>8.780161753893458</v>
      </c>
      <c r="M383" s="1">
        <v>8.816255597887842</v>
      </c>
      <c r="N383" s="1">
        <v>8.828286879219304</v>
      </c>
      <c r="O383" s="1">
        <v>8.810908361740525</v>
      </c>
    </row>
    <row r="384" spans="6:15" ht="12.75">
      <c r="F384" s="1">
        <v>70</v>
      </c>
      <c r="G384" s="1">
        <v>8.419223313949601</v>
      </c>
      <c r="H384" s="1">
        <v>8.51012632845398</v>
      </c>
      <c r="I384" s="1">
        <v>8.587661252590067</v>
      </c>
      <c r="J384" s="1">
        <v>8.653164895394694</v>
      </c>
      <c r="K384" s="1">
        <v>8.707974065904686</v>
      </c>
      <c r="L384" s="1">
        <v>8.752088764120046</v>
      </c>
      <c r="M384" s="1">
        <v>8.786845799077602</v>
      </c>
      <c r="N384" s="1">
        <v>8.792193035224917</v>
      </c>
      <c r="O384" s="1">
        <v>8.77481451774614</v>
      </c>
    </row>
    <row r="385" spans="6:15" ht="12.75">
      <c r="F385" s="1">
        <v>80</v>
      </c>
      <c r="G385" s="1">
        <v>8.403181605507653</v>
      </c>
      <c r="H385" s="1">
        <v>8.491411001938374</v>
      </c>
      <c r="I385" s="1">
        <v>8.566272308000801</v>
      </c>
      <c r="J385" s="1">
        <v>8.629102332731769</v>
      </c>
      <c r="K385" s="1">
        <v>8.682574694204932</v>
      </c>
      <c r="L385" s="1">
        <v>8.724015774346634</v>
      </c>
      <c r="M385" s="1">
        <v>8.757436000267361</v>
      </c>
      <c r="N385" s="1">
        <v>8.754762382193702</v>
      </c>
      <c r="O385" s="1">
        <v>8.738720673751756</v>
      </c>
    </row>
    <row r="386" spans="6:15" ht="12.75">
      <c r="F386" s="1">
        <v>90</v>
      </c>
      <c r="G386" s="1">
        <v>8.385803088028874</v>
      </c>
      <c r="H386" s="1">
        <v>8.471358866385936</v>
      </c>
      <c r="I386" s="1">
        <v>8.543546554374707</v>
      </c>
      <c r="J386" s="1">
        <v>8.603702961032017</v>
      </c>
      <c r="K386" s="1">
        <v>8.654501704431521</v>
      </c>
      <c r="L386" s="1">
        <v>8.694605975536396</v>
      </c>
      <c r="M386" s="1">
        <v>8.725352583383463</v>
      </c>
      <c r="N386" s="1">
        <v>8.718668538199317</v>
      </c>
      <c r="O386" s="1">
        <v>8.70129002072054</v>
      </c>
    </row>
    <row r="387" spans="6:15" ht="12.75">
      <c r="F387" s="1">
        <v>100</v>
      </c>
      <c r="G387" s="1">
        <v>8.367087761513268</v>
      </c>
      <c r="H387" s="1">
        <v>8.448633112759843</v>
      </c>
      <c r="I387" s="1">
        <v>8.519483991711784</v>
      </c>
      <c r="J387" s="1">
        <v>8.576966780295434</v>
      </c>
      <c r="K387" s="1">
        <v>8.626428714658111</v>
      </c>
      <c r="L387" s="1">
        <v>8.663859367689327</v>
      </c>
      <c r="M387" s="1">
        <v>8.693269166499565</v>
      </c>
      <c r="N387" s="1">
        <v>8.682574694204932</v>
      </c>
      <c r="O387" s="1">
        <v>8.665196176726154</v>
      </c>
    </row>
    <row r="388" spans="6:15" ht="12.75">
      <c r="F388" s="1">
        <v>110</v>
      </c>
      <c r="G388" s="1">
        <v>8.347035625960832</v>
      </c>
      <c r="H388" s="1">
        <v>8.425907359133747</v>
      </c>
      <c r="I388" s="1">
        <v>8.49408462001203</v>
      </c>
      <c r="J388" s="1">
        <v>8.548893790522024</v>
      </c>
      <c r="K388" s="1">
        <v>8.595682106811042</v>
      </c>
      <c r="L388" s="1">
        <v>8.631775950805427</v>
      </c>
      <c r="M388" s="1">
        <v>8.65851213154201</v>
      </c>
      <c r="N388" s="1">
        <v>8.645144041173719</v>
      </c>
      <c r="O388" s="1">
        <v>8.62776552369494</v>
      </c>
    </row>
    <row r="389" spans="6:15" ht="12.75">
      <c r="F389" s="1">
        <v>120</v>
      </c>
      <c r="G389" s="1">
        <v>8.325646681371566</v>
      </c>
      <c r="H389" s="1">
        <v>8.401844796470824</v>
      </c>
      <c r="I389" s="1">
        <v>8.46601163023862</v>
      </c>
      <c r="J389" s="1">
        <v>8.520820800748613</v>
      </c>
      <c r="K389" s="1">
        <v>8.563598689927144</v>
      </c>
      <c r="L389" s="1">
        <v>8.5983557248847</v>
      </c>
      <c r="M389" s="1">
        <v>8.623755096584453</v>
      </c>
      <c r="N389" s="1">
        <v>8.607713388142503</v>
      </c>
      <c r="O389" s="1">
        <v>8.590334870663726</v>
      </c>
    </row>
    <row r="390" spans="6:15" ht="12.75">
      <c r="F390" s="1">
        <v>130</v>
      </c>
      <c r="G390" s="1">
        <v>8.302920927745472</v>
      </c>
      <c r="H390" s="1">
        <v>8.37644542477107</v>
      </c>
      <c r="I390" s="1">
        <v>8.437938640465209</v>
      </c>
      <c r="J390" s="1">
        <v>8.490074192901544</v>
      </c>
      <c r="K390" s="1">
        <v>8.531515273043246</v>
      </c>
      <c r="L390" s="1">
        <v>8.563598689927144</v>
      </c>
      <c r="M390" s="1">
        <v>8.586324443553238</v>
      </c>
      <c r="N390" s="1">
        <v>8.57028273511129</v>
      </c>
      <c r="O390" s="1">
        <v>8.552904217632511</v>
      </c>
    </row>
    <row r="391" spans="6:15" ht="12.75">
      <c r="F391" s="1">
        <v>140</v>
      </c>
      <c r="G391" s="1">
        <v>8.278858365082547</v>
      </c>
      <c r="H391" s="1">
        <v>8.34970924403449</v>
      </c>
      <c r="I391" s="1">
        <v>8.408528841654968</v>
      </c>
      <c r="J391" s="1">
        <v>8.457990776017645</v>
      </c>
      <c r="K391" s="1">
        <v>8.498095047122519</v>
      </c>
      <c r="L391" s="1">
        <v>8.527504845932759</v>
      </c>
      <c r="M391" s="1">
        <v>8.548893790522024</v>
      </c>
      <c r="N391" s="1">
        <v>8.532852082080074</v>
      </c>
      <c r="O391" s="1">
        <v>8.515473564601297</v>
      </c>
    </row>
    <row r="392" spans="6:15" ht="12.75">
      <c r="F392" s="1">
        <v>150</v>
      </c>
      <c r="G392" s="1">
        <v>8.253458993382795</v>
      </c>
      <c r="H392" s="1">
        <v>8.321636254261078</v>
      </c>
      <c r="I392" s="1">
        <v>8.3777822338079</v>
      </c>
      <c r="J392" s="1">
        <v>8.424570550096918</v>
      </c>
      <c r="K392" s="1">
        <v>8.462001203128132</v>
      </c>
      <c r="L392" s="1">
        <v>8.490074192901544</v>
      </c>
      <c r="M392" s="1">
        <v>8.51012632845398</v>
      </c>
      <c r="N392" s="1">
        <v>8.495421429048859</v>
      </c>
      <c r="O392" s="1">
        <v>8.478042911570082</v>
      </c>
    </row>
    <row r="393" spans="6:15" ht="12.75">
      <c r="F393" s="1">
        <v>160</v>
      </c>
      <c r="G393" s="1">
        <v>8.226722812646214</v>
      </c>
      <c r="H393" s="1">
        <v>8.29222645545084</v>
      </c>
      <c r="I393" s="1">
        <v>8.345698816924003</v>
      </c>
      <c r="J393" s="1">
        <v>8.389813515139362</v>
      </c>
      <c r="K393" s="1">
        <v>8.425907359133747</v>
      </c>
      <c r="L393" s="1">
        <v>8.4513067308335</v>
      </c>
      <c r="M393" s="1">
        <v>8.468685248312278</v>
      </c>
      <c r="N393" s="1">
        <v>8.456653966980817</v>
      </c>
      <c r="O393" s="1">
        <v>8.43927544950204</v>
      </c>
    </row>
    <row r="394" spans="6:15" ht="12.75">
      <c r="F394" s="1">
        <v>170</v>
      </c>
      <c r="G394" s="1">
        <v>8.198649822872802</v>
      </c>
      <c r="H394" s="1">
        <v>8.26147984760377</v>
      </c>
      <c r="I394" s="1">
        <v>8.312278591003276</v>
      </c>
      <c r="J394" s="1">
        <v>8.353719671144978</v>
      </c>
      <c r="K394" s="1">
        <v>8.387139897065705</v>
      </c>
      <c r="L394" s="1">
        <v>8.411202459728628</v>
      </c>
      <c r="M394" s="1">
        <v>8.427244168170576</v>
      </c>
      <c r="N394" s="1">
        <v>8.417886504912772</v>
      </c>
      <c r="O394" s="1">
        <v>8.401844796470824</v>
      </c>
    </row>
    <row r="395" spans="6:15" ht="12.75">
      <c r="F395" s="1">
        <v>180</v>
      </c>
      <c r="G395" s="1">
        <v>8.169240024062562</v>
      </c>
      <c r="H395" s="1">
        <v>8.229396430719872</v>
      </c>
      <c r="I395" s="1">
        <v>8.27752155604572</v>
      </c>
      <c r="J395" s="1">
        <v>8.317625827150591</v>
      </c>
      <c r="K395" s="1">
        <v>8.34837243499766</v>
      </c>
      <c r="L395" s="1">
        <v>8.369761379586926</v>
      </c>
      <c r="M395" s="1">
        <v>8.384466278992045</v>
      </c>
      <c r="N395" s="1">
        <v>8.37911904284473</v>
      </c>
      <c r="O395" s="1">
        <v>8.363077334402782</v>
      </c>
    </row>
    <row r="396" spans="6:15" ht="12.75">
      <c r="F396" s="1">
        <v>190</v>
      </c>
      <c r="G396" s="1">
        <v>8.139830225252323</v>
      </c>
      <c r="H396" s="1">
        <v>8.195976204799145</v>
      </c>
      <c r="I396" s="1">
        <v>8.241427712051333</v>
      </c>
      <c r="J396" s="1">
        <v>8.278858365082547</v>
      </c>
      <c r="K396" s="1">
        <v>8.306931354855958</v>
      </c>
      <c r="L396" s="1">
        <v>8.326983490408395</v>
      </c>
      <c r="M396" s="1">
        <v>8.340351580776685</v>
      </c>
      <c r="N396" s="1">
        <v>8.340351580776685</v>
      </c>
      <c r="O396" s="1">
        <v>8.324309872334737</v>
      </c>
    </row>
    <row r="397" spans="6:15" ht="12.75">
      <c r="F397" s="1">
        <v>200</v>
      </c>
      <c r="G397" s="1">
        <v>8.107746808368423</v>
      </c>
      <c r="H397" s="1">
        <v>8.161219169841587</v>
      </c>
      <c r="I397" s="1">
        <v>8.203997059020118</v>
      </c>
      <c r="J397" s="1">
        <v>8.238754093977676</v>
      </c>
      <c r="K397" s="1">
        <v>8.265490274714256</v>
      </c>
      <c r="L397" s="1">
        <v>8.284205601229864</v>
      </c>
      <c r="M397" s="1">
        <v>8.294900073524497</v>
      </c>
      <c r="N397" s="1">
        <v>8.301584118708643</v>
      </c>
      <c r="O397" s="1">
        <v>8.284205601229864</v>
      </c>
    </row>
    <row r="398" spans="6:15" ht="12.75">
      <c r="F398" s="1">
        <v>210</v>
      </c>
      <c r="G398" s="1">
        <v>8.075663391484525</v>
      </c>
      <c r="H398" s="1">
        <v>8.125125325847202</v>
      </c>
      <c r="I398" s="1">
        <v>8.165229596952075</v>
      </c>
      <c r="J398" s="1">
        <v>8.197313013835974</v>
      </c>
      <c r="K398" s="1">
        <v>8.221375576498897</v>
      </c>
      <c r="L398" s="1">
        <v>8.238754093977676</v>
      </c>
      <c r="M398" s="1">
        <v>8.246774948198649</v>
      </c>
      <c r="N398" s="1">
        <v>8.262816656640599</v>
      </c>
      <c r="O398" s="1">
        <v>8.24543813916182</v>
      </c>
    </row>
    <row r="399" spans="6:15" ht="12.75">
      <c r="F399" s="1">
        <v>220</v>
      </c>
      <c r="G399" s="1">
        <v>8.04090635652697</v>
      </c>
      <c r="H399" s="1">
        <v>8.087694672815989</v>
      </c>
      <c r="I399" s="1">
        <v>8.125125325847202</v>
      </c>
      <c r="J399" s="1">
        <v>8.154535124657443</v>
      </c>
      <c r="K399" s="1">
        <v>8.177260878283537</v>
      </c>
      <c r="L399" s="1">
        <v>8.191965777688656</v>
      </c>
      <c r="M399" s="1">
        <v>8.198649822872802</v>
      </c>
      <c r="N399" s="1">
        <v>8.222712385535726</v>
      </c>
      <c r="O399" s="1">
        <v>8.205333868056949</v>
      </c>
    </row>
    <row r="400" spans="6:15" ht="12.75">
      <c r="F400" s="1">
        <v>230</v>
      </c>
      <c r="G400" s="1">
        <v>8.006149321569414</v>
      </c>
      <c r="H400" s="1">
        <v>8.048927210747944</v>
      </c>
      <c r="I400" s="1">
        <v>8.0836842457055</v>
      </c>
      <c r="J400" s="1">
        <v>8.111757235478912</v>
      </c>
      <c r="K400" s="1">
        <v>8.131809371031348</v>
      </c>
      <c r="L400" s="1">
        <v>8.14384065236281</v>
      </c>
      <c r="M400" s="1">
        <v>8.149187888510125</v>
      </c>
      <c r="N400" s="1">
        <v>8.182608114430854</v>
      </c>
      <c r="O400" s="1">
        <v>8.165229596952075</v>
      </c>
    </row>
    <row r="401" spans="6:15" ht="12.75">
      <c r="F401" s="1">
        <v>240</v>
      </c>
      <c r="G401" s="1">
        <v>7.968718668538199</v>
      </c>
      <c r="H401" s="1">
        <v>8.008822939643071</v>
      </c>
      <c r="I401" s="1">
        <v>8.04090635652697</v>
      </c>
      <c r="J401" s="1">
        <v>8.066305728226723</v>
      </c>
      <c r="K401" s="1">
        <v>8.0836842457055</v>
      </c>
      <c r="L401" s="1">
        <v>8.094378718000133</v>
      </c>
      <c r="M401" s="1">
        <v>8.098389145110621</v>
      </c>
      <c r="N401" s="1">
        <v>8.142503843325981</v>
      </c>
      <c r="O401" s="1">
        <v>8.125125325847202</v>
      </c>
    </row>
    <row r="402" spans="6:15" ht="12.75">
      <c r="F402" s="1">
        <v>250</v>
      </c>
      <c r="G402" s="1">
        <v>7.9312880155069845</v>
      </c>
      <c r="H402" s="1">
        <v>7.96738185950137</v>
      </c>
      <c r="I402" s="1">
        <v>7.99679165831161</v>
      </c>
      <c r="J402" s="1">
        <v>8.007486130606242</v>
      </c>
      <c r="K402" s="1">
        <v>8.035559120379654</v>
      </c>
      <c r="L402" s="1">
        <v>8.044916783637458</v>
      </c>
      <c r="M402" s="1">
        <v>8.046253592674287</v>
      </c>
      <c r="N402" s="1">
        <v>8.102399572221108</v>
      </c>
      <c r="O402" s="1">
        <v>8.08502105474233</v>
      </c>
    </row>
    <row r="403" spans="6:15" ht="12.75">
      <c r="F403" s="1">
        <v>260</v>
      </c>
      <c r="G403" s="1">
        <v>7.890482263448699</v>
      </c>
      <c r="H403" s="1">
        <v>7.920384375334269</v>
      </c>
      <c r="I403" s="1">
        <v>7.9534866417004215</v>
      </c>
      <c r="J403" s="1">
        <v>7.962453126710782</v>
      </c>
      <c r="K403" s="1">
        <v>7.9893260452707695</v>
      </c>
      <c r="L403" s="1">
        <v>7.991582939209946</v>
      </c>
      <c r="M403" s="1">
        <v>7.994765211184278</v>
      </c>
      <c r="N403" s="1">
        <v>8.062804822932156</v>
      </c>
      <c r="O403" s="1">
        <v>8.040513310558383</v>
      </c>
    </row>
    <row r="404" spans="6:15" ht="12.75">
      <c r="F404" s="1">
        <v>270</v>
      </c>
      <c r="G404" s="1">
        <v>7.850078566161888</v>
      </c>
      <c r="H404" s="1">
        <v>7.875855791789184</v>
      </c>
      <c r="I404" s="1">
        <v>7.907019189665799</v>
      </c>
      <c r="J404" s="1">
        <v>7.909849606978812</v>
      </c>
      <c r="K404" s="1">
        <v>7.938367462740993</v>
      </c>
      <c r="L404" s="1">
        <v>7.938409992875474</v>
      </c>
      <c r="M404" s="1">
        <v>7.940054864920393</v>
      </c>
      <c r="N404" s="1">
        <v>8.02200856573451</v>
      </c>
      <c r="O404" s="1">
        <v>7.99895654484406</v>
      </c>
    </row>
    <row r="405" spans="6:15" ht="12.75">
      <c r="F405" s="1">
        <v>280</v>
      </c>
      <c r="G405" s="1">
        <v>7.808448038748211</v>
      </c>
      <c r="H405" s="1">
        <v>7.8299434032185</v>
      </c>
      <c r="I405" s="1">
        <v>7.859254091100863</v>
      </c>
      <c r="J405" s="1">
        <v>7.8552778994345305</v>
      </c>
      <c r="K405" s="1">
        <v>7.886098954574694</v>
      </c>
      <c r="L405" s="1">
        <v>7.883914547359133</v>
      </c>
      <c r="M405" s="1">
        <v>7.884030352212819</v>
      </c>
      <c r="N405" s="1">
        <v>7.980951394303589</v>
      </c>
      <c r="O405" s="1">
        <v>7.957042400489805</v>
      </c>
    </row>
    <row r="406" spans="6:15" ht="12.75">
      <c r="F406" s="1">
        <v>290</v>
      </c>
      <c r="G406" s="1">
        <v>7.7655947545006345</v>
      </c>
      <c r="H406" s="1">
        <v>7.782642498343292</v>
      </c>
      <c r="I406" s="1">
        <v>7.81019279646882</v>
      </c>
      <c r="J406" s="1">
        <v>7.798688873727024</v>
      </c>
      <c r="K406" s="1">
        <v>7.83252052622445</v>
      </c>
      <c r="L406" s="1">
        <v>7.828095152197713</v>
      </c>
      <c r="M406" s="1">
        <v>7.826689540989372</v>
      </c>
      <c r="N406" s="1">
        <v>7.9396305767516875</v>
      </c>
      <c r="O406" s="1">
        <v>7.914761602165362</v>
      </c>
    </row>
    <row r="407" spans="6:15" ht="12.75">
      <c r="F407" s="1">
        <v>300</v>
      </c>
      <c r="G407" s="1">
        <v>7.721522786712118</v>
      </c>
      <c r="H407" s="1">
        <v>7.733948365884633</v>
      </c>
      <c r="I407" s="1">
        <v>7.759836756232872</v>
      </c>
      <c r="J407" s="1">
        <v>7.740033399505381</v>
      </c>
      <c r="K407" s="1">
        <v>7.777632183142837</v>
      </c>
      <c r="L407" s="1">
        <v>7.7709503569280125</v>
      </c>
      <c r="M407" s="1">
        <v>7.7680302991778625</v>
      </c>
      <c r="N407" s="1">
        <v>7.898043381191097</v>
      </c>
      <c r="O407" s="1">
        <v>7.8721048745404705</v>
      </c>
    </row>
    <row r="415" spans="6:13" ht="12.75">
      <c r="F415" s="403" t="s">
        <v>128</v>
      </c>
      <c r="G415" s="403"/>
      <c r="H415" s="403"/>
      <c r="I415" s="403"/>
      <c r="J415" s="403"/>
      <c r="K415" s="403"/>
      <c r="L415" s="403"/>
      <c r="M415" s="403"/>
    </row>
    <row r="416" spans="6:13" ht="12.75">
      <c r="F416" s="403"/>
      <c r="G416" s="403"/>
      <c r="H416" s="403"/>
      <c r="I416" s="403"/>
      <c r="J416" s="403"/>
      <c r="K416" s="403"/>
      <c r="L416" s="403"/>
      <c r="M416" s="403"/>
    </row>
    <row r="418" spans="2:6" ht="12.75">
      <c r="B418" t="s">
        <v>166</v>
      </c>
      <c r="C418" t="s">
        <v>54</v>
      </c>
      <c r="F418" s="1"/>
    </row>
    <row r="419" spans="2:13" ht="12.75">
      <c r="B419" s="58" t="s">
        <v>103</v>
      </c>
      <c r="C419">
        <v>6</v>
      </c>
      <c r="F419" s="1" t="s">
        <v>97</v>
      </c>
      <c r="G419" s="1" t="s">
        <v>129</v>
      </c>
      <c r="H419" s="1" t="s">
        <v>129</v>
      </c>
      <c r="I419" s="1"/>
      <c r="J419" s="1"/>
      <c r="K419" s="1"/>
      <c r="L419" s="1"/>
      <c r="M419" s="1"/>
    </row>
    <row r="420" spans="2:13" ht="12.75">
      <c r="B420" s="58" t="s">
        <v>67</v>
      </c>
      <c r="C420">
        <v>8</v>
      </c>
      <c r="F420" s="1" t="s">
        <v>99</v>
      </c>
      <c r="G420" s="1" t="s">
        <v>130</v>
      </c>
      <c r="H420" s="1" t="s">
        <v>131</v>
      </c>
      <c r="I420" s="1"/>
      <c r="J420" s="1"/>
      <c r="K420" s="1"/>
      <c r="L420" s="1"/>
      <c r="M420" s="1"/>
    </row>
    <row r="421" spans="2:13" ht="12.75">
      <c r="B421" s="58" t="s">
        <v>59</v>
      </c>
      <c r="C421">
        <v>421</v>
      </c>
      <c r="F421" s="1">
        <v>32</v>
      </c>
      <c r="G421" s="96">
        <v>4.336</v>
      </c>
      <c r="H421" s="129">
        <f>G421/3600</f>
        <v>0.0012044444444444446</v>
      </c>
      <c r="I421" s="80"/>
      <c r="J421" s="80"/>
      <c r="K421" s="80"/>
      <c r="L421" s="80"/>
      <c r="M421" s="80"/>
    </row>
    <row r="422" spans="2:13" ht="12.75">
      <c r="B422" s="58" t="s">
        <v>60</v>
      </c>
      <c r="C422">
        <v>449</v>
      </c>
      <c r="F422" s="1">
        <v>40</v>
      </c>
      <c r="G422" s="96">
        <v>3.74</v>
      </c>
      <c r="H422" s="129">
        <f aca="true" t="shared" si="5" ref="H422:H449">G422/3600</f>
        <v>0.0010388888888888889</v>
      </c>
      <c r="I422" s="80"/>
      <c r="J422" s="80"/>
      <c r="K422" s="80"/>
      <c r="L422" s="80"/>
      <c r="M422" s="80"/>
    </row>
    <row r="423" spans="2:13" ht="12.75">
      <c r="B423" s="58" t="s">
        <v>113</v>
      </c>
      <c r="C423" s="118">
        <v>0.00031697777777777775</v>
      </c>
      <c r="D423" s="13" t="s">
        <v>132</v>
      </c>
      <c r="F423" s="1">
        <v>50</v>
      </c>
      <c r="G423" s="96">
        <v>3.161</v>
      </c>
      <c r="H423" s="129">
        <f t="shared" si="5"/>
        <v>0.0008780555555555555</v>
      </c>
      <c r="I423" s="80"/>
      <c r="J423" s="80"/>
      <c r="K423" s="80"/>
      <c r="L423" s="80"/>
      <c r="M423" s="80"/>
    </row>
    <row r="424" spans="2:13" ht="12.75">
      <c r="B424" s="58" t="s">
        <v>133</v>
      </c>
      <c r="C424">
        <v>138.8</v>
      </c>
      <c r="D424" t="s">
        <v>134</v>
      </c>
      <c r="F424" s="1">
        <v>60</v>
      </c>
      <c r="G424" s="96">
        <v>2.713</v>
      </c>
      <c r="H424" s="129">
        <f t="shared" si="5"/>
        <v>0.0007536111111111111</v>
      </c>
      <c r="I424" s="80"/>
      <c r="J424" s="80"/>
      <c r="K424" s="80"/>
      <c r="L424" s="80"/>
      <c r="M424" s="80"/>
    </row>
    <row r="425" spans="6:13" ht="12.75">
      <c r="F425" s="1">
        <v>70</v>
      </c>
      <c r="G425" s="96">
        <v>2.36</v>
      </c>
      <c r="H425" s="129">
        <f t="shared" si="5"/>
        <v>0.0006555555555555555</v>
      </c>
      <c r="I425" s="80"/>
      <c r="J425" s="80"/>
      <c r="K425" s="80"/>
      <c r="L425" s="80"/>
      <c r="M425" s="80"/>
    </row>
    <row r="426" spans="6:13" ht="12.75">
      <c r="F426" s="1">
        <v>80</v>
      </c>
      <c r="G426" s="96">
        <v>2.075</v>
      </c>
      <c r="H426" s="129">
        <f t="shared" si="5"/>
        <v>0.000576388888888889</v>
      </c>
      <c r="I426" s="80"/>
      <c r="J426" s="80"/>
      <c r="K426" s="80"/>
      <c r="L426" s="80"/>
      <c r="M426" s="80"/>
    </row>
    <row r="427" spans="6:13" ht="12.75">
      <c r="F427" s="1">
        <v>90</v>
      </c>
      <c r="G427" s="96">
        <v>1.842</v>
      </c>
      <c r="H427" s="129">
        <f t="shared" si="5"/>
        <v>0.0005116666666666667</v>
      </c>
      <c r="I427" s="80"/>
      <c r="J427" s="80"/>
      <c r="K427" s="80"/>
      <c r="L427" s="80"/>
      <c r="M427" s="80"/>
    </row>
    <row r="428" spans="6:13" ht="12.75">
      <c r="F428" s="1">
        <v>100</v>
      </c>
      <c r="G428" s="96">
        <v>1.648</v>
      </c>
      <c r="H428" s="129">
        <f t="shared" si="5"/>
        <v>0.00045777777777777776</v>
      </c>
      <c r="I428" s="80"/>
      <c r="J428" s="80"/>
      <c r="K428" s="80"/>
      <c r="L428" s="80"/>
      <c r="M428" s="80"/>
    </row>
    <row r="429" spans="6:13" ht="12.75">
      <c r="F429" s="1">
        <v>110</v>
      </c>
      <c r="G429" s="96">
        <v>1.4886</v>
      </c>
      <c r="H429" s="129">
        <f t="shared" si="5"/>
        <v>0.00041349999999999997</v>
      </c>
      <c r="I429" s="80"/>
      <c r="J429" s="80"/>
      <c r="K429" s="80"/>
      <c r="L429" s="80"/>
      <c r="M429" s="80"/>
    </row>
    <row r="430" spans="6:13" ht="12.75">
      <c r="F430" s="1">
        <v>120</v>
      </c>
      <c r="G430" s="96">
        <v>1.348</v>
      </c>
      <c r="H430" s="129">
        <f t="shared" si="5"/>
        <v>0.00037444444444444444</v>
      </c>
      <c r="I430" s="80"/>
      <c r="J430" s="80"/>
      <c r="K430" s="80"/>
      <c r="L430" s="80"/>
      <c r="M430" s="80"/>
    </row>
    <row r="431" spans="6:13" ht="12.75">
      <c r="F431" s="1">
        <v>130</v>
      </c>
      <c r="G431" s="96">
        <v>1.23</v>
      </c>
      <c r="H431" s="129">
        <f t="shared" si="5"/>
        <v>0.00034166666666666666</v>
      </c>
      <c r="I431" s="80"/>
      <c r="J431" s="80"/>
      <c r="K431" s="80"/>
      <c r="L431" s="80"/>
      <c r="M431" s="80"/>
    </row>
    <row r="432" spans="6:13" ht="12.75">
      <c r="F432" s="1">
        <v>140</v>
      </c>
      <c r="G432" s="96">
        <v>1.129</v>
      </c>
      <c r="H432" s="129">
        <f t="shared" si="5"/>
        <v>0.00031361111111111113</v>
      </c>
      <c r="I432" s="80"/>
      <c r="J432" s="80"/>
      <c r="K432" s="80"/>
      <c r="L432" s="80"/>
      <c r="M432" s="80"/>
    </row>
    <row r="433" spans="6:13" ht="12.75">
      <c r="F433" s="1">
        <v>150</v>
      </c>
      <c r="G433" s="96">
        <v>1.04</v>
      </c>
      <c r="H433" s="129">
        <f t="shared" si="5"/>
        <v>0.0002888888888888889</v>
      </c>
      <c r="I433" s="80"/>
      <c r="J433" s="80"/>
      <c r="K433" s="80"/>
      <c r="L433" s="80"/>
      <c r="M433" s="80"/>
    </row>
    <row r="434" spans="6:13" ht="12.75">
      <c r="F434" s="1">
        <v>160</v>
      </c>
      <c r="G434" s="96">
        <v>0.963</v>
      </c>
      <c r="H434" s="129">
        <f t="shared" si="5"/>
        <v>0.0002675</v>
      </c>
      <c r="I434" s="80"/>
      <c r="J434" s="80"/>
      <c r="K434" s="80"/>
      <c r="L434" s="80"/>
      <c r="M434" s="80"/>
    </row>
    <row r="435" spans="6:13" ht="12.75">
      <c r="F435" s="1">
        <v>170</v>
      </c>
      <c r="G435" s="96">
        <v>0.894</v>
      </c>
      <c r="H435" s="129">
        <f t="shared" si="5"/>
        <v>0.0002483333333333333</v>
      </c>
      <c r="I435" s="80"/>
      <c r="J435" s="80"/>
      <c r="K435" s="80"/>
      <c r="L435" s="80"/>
      <c r="M435" s="80"/>
    </row>
    <row r="436" spans="6:13" ht="12.75">
      <c r="F436" s="1">
        <v>180</v>
      </c>
      <c r="G436" s="96">
        <v>0.834</v>
      </c>
      <c r="H436" s="129">
        <f t="shared" si="5"/>
        <v>0.00023166666666666667</v>
      </c>
      <c r="I436" s="80"/>
      <c r="J436" s="80"/>
      <c r="K436" s="80"/>
      <c r="L436" s="80"/>
      <c r="M436" s="80"/>
    </row>
    <row r="437" spans="6:13" ht="12.75">
      <c r="F437" s="1">
        <v>190</v>
      </c>
      <c r="G437" s="96">
        <v>0.781</v>
      </c>
      <c r="H437" s="129">
        <f t="shared" si="5"/>
        <v>0.00021694444444444447</v>
      </c>
      <c r="I437" s="80"/>
      <c r="J437" s="80"/>
      <c r="K437" s="80"/>
      <c r="L437" s="80"/>
      <c r="M437" s="80"/>
    </row>
    <row r="438" spans="6:13" ht="12.75">
      <c r="F438" s="1">
        <v>200</v>
      </c>
      <c r="G438" s="96">
        <v>0.733</v>
      </c>
      <c r="H438" s="129">
        <f t="shared" si="5"/>
        <v>0.00020361111111111112</v>
      </c>
      <c r="I438" s="80"/>
      <c r="J438" s="80"/>
      <c r="K438" s="80"/>
      <c r="L438" s="80"/>
      <c r="M438" s="80"/>
    </row>
    <row r="439" spans="6:13" ht="12.75">
      <c r="F439" s="1">
        <v>210</v>
      </c>
      <c r="G439" s="96">
        <v>0.69</v>
      </c>
      <c r="H439" s="129">
        <f t="shared" si="5"/>
        <v>0.00019166666666666665</v>
      </c>
      <c r="I439" s="80"/>
      <c r="J439" s="80"/>
      <c r="K439" s="80"/>
      <c r="L439" s="80"/>
      <c r="M439" s="80"/>
    </row>
    <row r="440" spans="6:13" ht="12.75">
      <c r="F440" s="1">
        <v>212</v>
      </c>
      <c r="G440" s="96">
        <v>0.682</v>
      </c>
      <c r="H440" s="129">
        <f t="shared" si="5"/>
        <v>0.00018944444444444445</v>
      </c>
      <c r="I440" s="80"/>
      <c r="J440" s="80"/>
      <c r="K440" s="80"/>
      <c r="L440" s="80"/>
      <c r="M440" s="80"/>
    </row>
    <row r="441" spans="6:13" ht="12.75">
      <c r="F441" s="1">
        <v>220</v>
      </c>
      <c r="G441" s="96">
        <v>0.651</v>
      </c>
      <c r="H441" s="129">
        <f t="shared" si="5"/>
        <v>0.00018083333333333333</v>
      </c>
      <c r="I441" s="80"/>
      <c r="J441" s="80"/>
      <c r="K441" s="80"/>
      <c r="L441" s="80"/>
      <c r="M441" s="80"/>
    </row>
    <row r="442" spans="6:13" ht="12.75">
      <c r="F442" s="1">
        <v>230</v>
      </c>
      <c r="G442" s="96">
        <v>0.616</v>
      </c>
      <c r="H442" s="129">
        <f t="shared" si="5"/>
        <v>0.0001711111111111111</v>
      </c>
      <c r="I442" s="80"/>
      <c r="J442" s="80"/>
      <c r="K442" s="80"/>
      <c r="L442" s="80"/>
      <c r="M442" s="80"/>
    </row>
    <row r="443" spans="6:13" ht="12.75">
      <c r="F443" s="1">
        <v>240</v>
      </c>
      <c r="G443" s="96">
        <v>0.585</v>
      </c>
      <c r="H443" s="129">
        <f t="shared" si="5"/>
        <v>0.0001625</v>
      </c>
      <c r="I443" s="80"/>
      <c r="J443" s="80"/>
      <c r="K443" s="80"/>
      <c r="L443" s="80"/>
      <c r="M443" s="80"/>
    </row>
    <row r="444" spans="6:13" ht="12.75">
      <c r="F444" s="1">
        <v>250</v>
      </c>
      <c r="G444" s="96">
        <v>0.556</v>
      </c>
      <c r="H444" s="129">
        <f t="shared" si="5"/>
        <v>0.00015444444444444446</v>
      </c>
      <c r="I444" s="80"/>
      <c r="J444" s="80"/>
      <c r="K444" s="80"/>
      <c r="L444" s="80"/>
      <c r="M444" s="80"/>
    </row>
    <row r="445" spans="6:13" ht="12.75">
      <c r="F445" s="1">
        <v>260</v>
      </c>
      <c r="G445" s="96">
        <v>0.53</v>
      </c>
      <c r="H445" s="129">
        <f t="shared" si="5"/>
        <v>0.00014722222222222223</v>
      </c>
      <c r="I445" s="80"/>
      <c r="J445" s="80"/>
      <c r="K445" s="80"/>
      <c r="L445" s="80"/>
      <c r="M445" s="80"/>
    </row>
    <row r="446" spans="6:13" ht="12.75">
      <c r="F446" s="1">
        <v>270</v>
      </c>
      <c r="G446" s="96">
        <v>0.506</v>
      </c>
      <c r="H446" s="129">
        <f t="shared" si="5"/>
        <v>0.00014055555555555555</v>
      </c>
      <c r="I446" s="80"/>
      <c r="J446" s="80"/>
      <c r="K446" s="80"/>
      <c r="L446" s="80"/>
      <c r="M446" s="80"/>
    </row>
    <row r="447" spans="6:13" ht="12.75">
      <c r="F447" s="1">
        <v>280</v>
      </c>
      <c r="G447" s="96">
        <v>0.484</v>
      </c>
      <c r="H447" s="129">
        <f t="shared" si="5"/>
        <v>0.00013444444444444444</v>
      </c>
      <c r="I447" s="80"/>
      <c r="J447" s="80"/>
      <c r="K447" s="80"/>
      <c r="L447" s="80"/>
      <c r="M447" s="80"/>
    </row>
    <row r="448" spans="6:13" ht="12.75">
      <c r="F448" s="1">
        <v>290</v>
      </c>
      <c r="G448" s="96">
        <v>0.464</v>
      </c>
      <c r="H448" s="129">
        <f t="shared" si="5"/>
        <v>0.0001288888888888889</v>
      </c>
      <c r="I448" s="80"/>
      <c r="J448" s="80"/>
      <c r="K448" s="80"/>
      <c r="L448" s="80"/>
      <c r="M448" s="80"/>
    </row>
    <row r="449" spans="6:13" ht="12.75">
      <c r="F449" s="1">
        <v>300</v>
      </c>
      <c r="G449" s="96">
        <v>0.445</v>
      </c>
      <c r="H449" s="129">
        <f t="shared" si="5"/>
        <v>0.00012361111111111112</v>
      </c>
      <c r="I449" s="80"/>
      <c r="J449" s="80"/>
      <c r="K449" s="80"/>
      <c r="L449" s="80"/>
      <c r="M449" s="80"/>
    </row>
    <row r="455" spans="6:13" ht="12.75">
      <c r="F455" s="403" t="s">
        <v>135</v>
      </c>
      <c r="G455" s="403"/>
      <c r="H455" s="403"/>
      <c r="I455" s="403"/>
      <c r="J455" s="403"/>
      <c r="K455" s="403"/>
      <c r="L455" s="403"/>
      <c r="M455" s="403"/>
    </row>
    <row r="456" spans="6:13" ht="12.75">
      <c r="F456" s="403"/>
      <c r="G456" s="403"/>
      <c r="H456" s="403"/>
      <c r="I456" s="403"/>
      <c r="J456" s="403"/>
      <c r="K456" s="403"/>
      <c r="L456" s="403"/>
      <c r="M456" s="403"/>
    </row>
    <row r="459" spans="2:15" ht="12.75">
      <c r="B459" s="58" t="s">
        <v>53</v>
      </c>
      <c r="C459" t="s">
        <v>54</v>
      </c>
      <c r="G459" s="407" t="s">
        <v>96</v>
      </c>
      <c r="H459" s="408"/>
      <c r="I459" s="408"/>
      <c r="J459" s="408"/>
      <c r="K459" s="408"/>
      <c r="L459" s="408"/>
      <c r="M459" s="408"/>
      <c r="N459" s="408"/>
      <c r="O459" s="409"/>
    </row>
    <row r="460" spans="2:15" ht="12.75">
      <c r="B460" s="58" t="s">
        <v>55</v>
      </c>
      <c r="D460" t="s">
        <v>94</v>
      </c>
      <c r="F460" s="1"/>
      <c r="G460" s="114">
        <v>10</v>
      </c>
      <c r="H460" s="115">
        <v>20</v>
      </c>
      <c r="I460" s="115">
        <v>30</v>
      </c>
      <c r="J460" s="115">
        <v>40</v>
      </c>
      <c r="K460" s="115">
        <v>50</v>
      </c>
      <c r="L460" s="115">
        <v>60</v>
      </c>
      <c r="M460" s="115">
        <v>70</v>
      </c>
      <c r="N460" s="115">
        <v>80</v>
      </c>
      <c r="O460" s="116">
        <v>90</v>
      </c>
    </row>
    <row r="461" spans="2:15" ht="12.75">
      <c r="B461" s="58" t="s">
        <v>56</v>
      </c>
      <c r="D461" t="s">
        <v>42</v>
      </c>
      <c r="F461" s="1" t="s">
        <v>97</v>
      </c>
      <c r="G461" s="1" t="s">
        <v>129</v>
      </c>
      <c r="H461" s="1" t="s">
        <v>129</v>
      </c>
      <c r="I461" s="1" t="s">
        <v>129</v>
      </c>
      <c r="J461" s="1" t="s">
        <v>129</v>
      </c>
      <c r="K461" s="1" t="s">
        <v>129</v>
      </c>
      <c r="L461" s="1" t="s">
        <v>129</v>
      </c>
      <c r="M461" s="1" t="s">
        <v>129</v>
      </c>
      <c r="N461" s="1" t="s">
        <v>129</v>
      </c>
      <c r="O461" s="1" t="s">
        <v>129</v>
      </c>
    </row>
    <row r="462" spans="2:15" ht="12.75">
      <c r="B462" s="58" t="s">
        <v>57</v>
      </c>
      <c r="C462">
        <v>6</v>
      </c>
      <c r="D462" t="s">
        <v>94</v>
      </c>
      <c r="F462" s="1" t="s">
        <v>99</v>
      </c>
      <c r="G462" s="1" t="s">
        <v>136</v>
      </c>
      <c r="H462" s="1" t="s">
        <v>136</v>
      </c>
      <c r="I462" s="1" t="s">
        <v>136</v>
      </c>
      <c r="J462" s="1" t="s">
        <v>136</v>
      </c>
      <c r="K462" s="1" t="s">
        <v>136</v>
      </c>
      <c r="L462" s="1" t="s">
        <v>136</v>
      </c>
      <c r="M462" s="1" t="s">
        <v>136</v>
      </c>
      <c r="N462" s="1" t="s">
        <v>136</v>
      </c>
      <c r="O462" s="1" t="s">
        <v>136</v>
      </c>
    </row>
    <row r="463" spans="2:15" ht="12.75">
      <c r="B463" s="58" t="s">
        <v>58</v>
      </c>
      <c r="C463">
        <v>460</v>
      </c>
      <c r="D463" t="s">
        <v>42</v>
      </c>
      <c r="F463" s="1">
        <v>-30</v>
      </c>
      <c r="G463" s="80"/>
      <c r="H463" s="80"/>
      <c r="I463" s="80"/>
      <c r="J463" s="80"/>
      <c r="K463" s="80">
        <v>63.69</v>
      </c>
      <c r="L463" s="80">
        <v>89.67</v>
      </c>
      <c r="M463" s="80">
        <v>128.79</v>
      </c>
      <c r="N463" s="80">
        <v>185.22</v>
      </c>
      <c r="O463" s="80"/>
    </row>
    <row r="464" spans="2:15" ht="12.75">
      <c r="B464" s="58" t="s">
        <v>59</v>
      </c>
      <c r="C464">
        <v>469</v>
      </c>
      <c r="F464" s="1">
        <v>-20</v>
      </c>
      <c r="G464" s="80"/>
      <c r="H464" s="80"/>
      <c r="I464" s="80"/>
      <c r="J464" s="80"/>
      <c r="K464" s="80">
        <v>40.38</v>
      </c>
      <c r="L464" s="80">
        <v>60.46</v>
      </c>
      <c r="M464" s="80">
        <v>89.93</v>
      </c>
      <c r="N464" s="80">
        <v>131.32</v>
      </c>
      <c r="O464" s="80">
        <v>284.48</v>
      </c>
    </row>
    <row r="465" spans="2:15" ht="12.75">
      <c r="B465" s="58" t="s">
        <v>60</v>
      </c>
      <c r="C465">
        <v>496</v>
      </c>
      <c r="F465" s="1">
        <v>-10</v>
      </c>
      <c r="G465" s="80"/>
      <c r="H465" s="80"/>
      <c r="I465" s="80"/>
      <c r="J465" s="80">
        <v>19.58</v>
      </c>
      <c r="K465" s="80">
        <v>27.27</v>
      </c>
      <c r="L465" s="80">
        <v>42.05</v>
      </c>
      <c r="M465" s="80">
        <v>63.5</v>
      </c>
      <c r="N465" s="80">
        <v>91.88</v>
      </c>
      <c r="O465" s="80">
        <v>169.83</v>
      </c>
    </row>
    <row r="466" spans="2:15" ht="12.75">
      <c r="B466" s="58" t="s">
        <v>61</v>
      </c>
      <c r="C466">
        <v>7</v>
      </c>
      <c r="F466" s="1">
        <v>0</v>
      </c>
      <c r="G466" s="80"/>
      <c r="H466" s="80"/>
      <c r="I466" s="80"/>
      <c r="J466" s="80">
        <v>13.76</v>
      </c>
      <c r="K466" s="80">
        <v>19.34</v>
      </c>
      <c r="L466" s="80">
        <v>30.08</v>
      </c>
      <c r="M466" s="80">
        <v>45.58</v>
      </c>
      <c r="N466" s="80">
        <v>65.04</v>
      </c>
      <c r="O466" s="80">
        <v>107.77</v>
      </c>
    </row>
    <row r="467" spans="2:15" ht="12.75">
      <c r="B467" s="58" t="s">
        <v>62</v>
      </c>
      <c r="C467">
        <v>15</v>
      </c>
      <c r="F467" s="1">
        <v>10</v>
      </c>
      <c r="G467" s="80"/>
      <c r="H467" s="80"/>
      <c r="I467" s="80">
        <v>6.83</v>
      </c>
      <c r="J467" s="80">
        <v>10.13</v>
      </c>
      <c r="K467" s="80">
        <v>14.26</v>
      </c>
      <c r="L467" s="80">
        <v>22.06</v>
      </c>
      <c r="M467" s="80">
        <v>33.31</v>
      </c>
      <c r="N467" s="80">
        <v>46.89</v>
      </c>
      <c r="O467" s="80">
        <v>71.87</v>
      </c>
    </row>
    <row r="468" spans="2:15" ht="12.75">
      <c r="B468" s="58" t="s">
        <v>63</v>
      </c>
      <c r="C468" s="118">
        <v>0.000526848</v>
      </c>
      <c r="D468" t="s">
        <v>129</v>
      </c>
      <c r="F468" s="1">
        <v>20</v>
      </c>
      <c r="G468" s="80"/>
      <c r="H468" s="80">
        <v>3.9</v>
      </c>
      <c r="I468" s="80">
        <v>5.38</v>
      </c>
      <c r="J468" s="80">
        <v>7.74</v>
      </c>
      <c r="K468" s="80">
        <v>10.85</v>
      </c>
      <c r="L468" s="80">
        <v>16.56</v>
      </c>
      <c r="M468" s="80">
        <v>24.79</v>
      </c>
      <c r="N468" s="80">
        <v>34.48</v>
      </c>
      <c r="O468" s="80">
        <v>49.94</v>
      </c>
    </row>
    <row r="469" spans="6:15" ht="12.75">
      <c r="F469" s="1">
        <v>30</v>
      </c>
      <c r="G469" s="80">
        <v>2.16</v>
      </c>
      <c r="H469" s="80">
        <v>3.14</v>
      </c>
      <c r="I469" s="80">
        <v>4.33</v>
      </c>
      <c r="J469" s="80">
        <v>6.09</v>
      </c>
      <c r="K469" s="80">
        <v>8.48</v>
      </c>
      <c r="L469" s="80">
        <v>12.68</v>
      </c>
      <c r="M469" s="80">
        <v>19.77</v>
      </c>
      <c r="N469" s="80">
        <v>25.84</v>
      </c>
      <c r="O469" s="80">
        <v>35.91</v>
      </c>
    </row>
    <row r="470" spans="6:15" ht="12.75">
      <c r="F470" s="1">
        <v>40</v>
      </c>
      <c r="G470" s="80">
        <v>1.82</v>
      </c>
      <c r="H470" s="80">
        <v>2.59</v>
      </c>
      <c r="I470" s="80">
        <v>3.54</v>
      </c>
      <c r="J470" s="80">
        <v>4.91</v>
      </c>
      <c r="K470" s="80">
        <v>6.77</v>
      </c>
      <c r="L470" s="80">
        <v>9.9</v>
      </c>
      <c r="M470" s="80">
        <v>14.45</v>
      </c>
      <c r="N470" s="80">
        <v>19.71</v>
      </c>
      <c r="O470" s="80">
        <v>26.59</v>
      </c>
    </row>
    <row r="471" spans="6:15" ht="12.75">
      <c r="F471" s="1">
        <v>50</v>
      </c>
      <c r="G471" s="80">
        <v>1.56</v>
      </c>
      <c r="H471" s="80">
        <v>2.18</v>
      </c>
      <c r="I471" s="80">
        <v>2.95</v>
      </c>
      <c r="J471" s="80">
        <v>4.04</v>
      </c>
      <c r="K471" s="80">
        <v>5.5</v>
      </c>
      <c r="L471" s="80">
        <v>7.85</v>
      </c>
      <c r="M471" s="80">
        <v>11.31</v>
      </c>
      <c r="N471" s="80">
        <v>15.29</v>
      </c>
      <c r="O471" s="80">
        <v>20.18</v>
      </c>
    </row>
    <row r="472" spans="4:15" ht="12.75">
      <c r="D472" s="222" t="s">
        <v>202</v>
      </c>
      <c r="F472" s="1">
        <v>60</v>
      </c>
      <c r="G472" s="80">
        <v>1.35</v>
      </c>
      <c r="H472" s="80">
        <v>1.86</v>
      </c>
      <c r="I472" s="80">
        <v>2.49</v>
      </c>
      <c r="J472" s="80">
        <v>3.38</v>
      </c>
      <c r="K472" s="80">
        <v>4.55</v>
      </c>
      <c r="L472" s="80">
        <v>6.33</v>
      </c>
      <c r="M472" s="80">
        <v>8.97</v>
      </c>
      <c r="N472" s="80">
        <v>12.05</v>
      </c>
      <c r="O472" s="80">
        <v>15.65</v>
      </c>
    </row>
    <row r="473" spans="6:15" ht="12.75">
      <c r="F473" s="1">
        <v>70</v>
      </c>
      <c r="G473" s="80">
        <v>1.18</v>
      </c>
      <c r="H473" s="80">
        <v>1.61</v>
      </c>
      <c r="I473" s="80">
        <v>2.13</v>
      </c>
      <c r="J473" s="80">
        <v>2.87</v>
      </c>
      <c r="K473" s="80">
        <v>3.81</v>
      </c>
      <c r="L473" s="80">
        <v>5.17</v>
      </c>
      <c r="M473" s="80">
        <v>7.22</v>
      </c>
      <c r="N473" s="80">
        <v>9.62</v>
      </c>
      <c r="O473" s="80">
        <v>12.37</v>
      </c>
    </row>
    <row r="474" spans="6:15" ht="12.75">
      <c r="F474" s="1">
        <v>80</v>
      </c>
      <c r="G474" s="80">
        <v>1.04</v>
      </c>
      <c r="H474" s="80">
        <v>1.41</v>
      </c>
      <c r="I474" s="80">
        <v>1.84</v>
      </c>
      <c r="J474" s="80">
        <v>2.46</v>
      </c>
      <c r="K474" s="80">
        <v>3.23</v>
      </c>
      <c r="L474" s="80">
        <v>4.28</v>
      </c>
      <c r="M474" s="80">
        <v>5.88</v>
      </c>
      <c r="N474" s="80">
        <v>7.79</v>
      </c>
      <c r="O474" s="80">
        <v>9.93</v>
      </c>
    </row>
    <row r="475" spans="6:15" ht="12.75">
      <c r="F475" s="1">
        <v>90</v>
      </c>
      <c r="G475" s="80">
        <v>0.93</v>
      </c>
      <c r="H475" s="80">
        <v>1.24</v>
      </c>
      <c r="I475" s="80">
        <v>1.6</v>
      </c>
      <c r="J475" s="80">
        <v>2.13</v>
      </c>
      <c r="K475" s="80">
        <v>2.76</v>
      </c>
      <c r="L475" s="80">
        <v>3.58</v>
      </c>
      <c r="M475" s="80">
        <v>4.85</v>
      </c>
      <c r="N475" s="80">
        <v>6.38</v>
      </c>
      <c r="O475" s="80">
        <v>8.1</v>
      </c>
    </row>
    <row r="476" spans="6:15" ht="12.75">
      <c r="F476" s="1">
        <v>100</v>
      </c>
      <c r="G476" s="80">
        <v>0.83</v>
      </c>
      <c r="H476" s="80">
        <v>1.11</v>
      </c>
      <c r="I476" s="80">
        <v>1.41</v>
      </c>
      <c r="J476" s="80">
        <v>1.87</v>
      </c>
      <c r="K476" s="80">
        <v>2.39</v>
      </c>
      <c r="L476" s="80">
        <v>3.03</v>
      </c>
      <c r="M476" s="80">
        <v>4.04</v>
      </c>
      <c r="N476" s="80">
        <v>5.28</v>
      </c>
      <c r="O476" s="80">
        <v>6.68</v>
      </c>
    </row>
    <row r="477" spans="6:15" ht="12.75">
      <c r="F477" s="1">
        <v>110</v>
      </c>
      <c r="G477" s="80">
        <v>0.75</v>
      </c>
      <c r="H477" s="80">
        <v>0.99</v>
      </c>
      <c r="I477" s="80">
        <v>1.25</v>
      </c>
      <c r="J477" s="80">
        <v>1.64</v>
      </c>
      <c r="K477" s="80">
        <v>2.08</v>
      </c>
      <c r="L477" s="80">
        <v>2.58</v>
      </c>
      <c r="M477" s="80">
        <v>3.4</v>
      </c>
      <c r="N477" s="80">
        <v>4.41</v>
      </c>
      <c r="O477" s="80">
        <v>5.58</v>
      </c>
    </row>
    <row r="478" spans="6:15" ht="12.75">
      <c r="F478" s="1">
        <v>120</v>
      </c>
      <c r="G478" s="80">
        <v>0.69</v>
      </c>
      <c r="H478" s="80">
        <v>0.9</v>
      </c>
      <c r="I478" s="80">
        <v>1.11</v>
      </c>
      <c r="J478" s="80">
        <v>1.46</v>
      </c>
      <c r="K478" s="80">
        <v>1.82</v>
      </c>
      <c r="L478" s="80">
        <v>2.33</v>
      </c>
      <c r="M478" s="80">
        <v>2.88</v>
      </c>
      <c r="N478" s="80">
        <v>3.73</v>
      </c>
      <c r="O478" s="80">
        <v>4.71</v>
      </c>
    </row>
    <row r="479" spans="6:15" ht="12.75">
      <c r="F479" s="1">
        <v>130</v>
      </c>
      <c r="G479" s="80">
        <v>0.62</v>
      </c>
      <c r="H479" s="80">
        <v>0.81</v>
      </c>
      <c r="I479" s="80">
        <v>1</v>
      </c>
      <c r="J479" s="80">
        <v>1.3</v>
      </c>
      <c r="K479" s="80">
        <v>1.61</v>
      </c>
      <c r="L479" s="80">
        <v>1.93</v>
      </c>
      <c r="M479" s="80">
        <v>2.47</v>
      </c>
      <c r="N479" s="80">
        <v>3.17</v>
      </c>
      <c r="O479" s="80">
        <v>4.01</v>
      </c>
    </row>
    <row r="480" spans="6:15" ht="12.75">
      <c r="F480" s="1">
        <v>140</v>
      </c>
      <c r="G480" s="80">
        <v>0.57</v>
      </c>
      <c r="H480" s="80">
        <v>0.74</v>
      </c>
      <c r="I480" s="80">
        <v>0.9</v>
      </c>
      <c r="J480" s="80">
        <v>1.17</v>
      </c>
      <c r="K480" s="80">
        <v>1.43</v>
      </c>
      <c r="L480" s="80">
        <v>1.69</v>
      </c>
      <c r="M480" s="80">
        <v>2.13</v>
      </c>
      <c r="N480" s="80">
        <v>2.72</v>
      </c>
      <c r="O480" s="80">
        <v>3.45</v>
      </c>
    </row>
    <row r="481" spans="6:15" ht="12.75">
      <c r="F481" s="1">
        <v>150</v>
      </c>
      <c r="G481" s="80">
        <v>0.53</v>
      </c>
      <c r="H481" s="80">
        <v>0.68</v>
      </c>
      <c r="I481" s="80">
        <v>0.82</v>
      </c>
      <c r="J481" s="80">
        <v>1.05</v>
      </c>
      <c r="K481" s="80">
        <v>1.28</v>
      </c>
      <c r="L481" s="80">
        <v>1.49</v>
      </c>
      <c r="M481" s="80">
        <v>1.86</v>
      </c>
      <c r="N481" s="80">
        <v>2.35</v>
      </c>
      <c r="O481" s="80">
        <v>2.98</v>
      </c>
    </row>
    <row r="482" spans="6:15" ht="12.75">
      <c r="F482" s="1">
        <v>160</v>
      </c>
      <c r="G482" s="80">
        <v>0.49</v>
      </c>
      <c r="H482" s="80">
        <v>0.63</v>
      </c>
      <c r="I482" s="80">
        <v>0.75</v>
      </c>
      <c r="J482" s="80">
        <v>0.95</v>
      </c>
      <c r="K482" s="80">
        <v>1.15</v>
      </c>
      <c r="L482" s="80">
        <v>1.32</v>
      </c>
      <c r="M482" s="80">
        <v>1.63</v>
      </c>
      <c r="N482" s="80">
        <v>2.05</v>
      </c>
      <c r="O482" s="80">
        <v>2.6</v>
      </c>
    </row>
    <row r="483" spans="6:15" ht="12.75">
      <c r="F483" s="1">
        <v>170</v>
      </c>
      <c r="G483" s="80">
        <v>0.46</v>
      </c>
      <c r="H483" s="80">
        <v>0.58</v>
      </c>
      <c r="I483" s="80">
        <v>0.68</v>
      </c>
      <c r="J483" s="80">
        <v>0.87</v>
      </c>
      <c r="K483" s="80">
        <v>1.04</v>
      </c>
      <c r="L483" s="80">
        <v>1.18</v>
      </c>
      <c r="M483" s="80">
        <v>1.43</v>
      </c>
      <c r="N483" s="80">
        <v>1.8</v>
      </c>
      <c r="O483" s="80">
        <v>2.28</v>
      </c>
    </row>
    <row r="484" spans="6:15" ht="12.75">
      <c r="F484" s="1">
        <v>180</v>
      </c>
      <c r="G484" s="80">
        <v>0.43</v>
      </c>
      <c r="H484" s="80">
        <v>0.54</v>
      </c>
      <c r="I484" s="80">
        <v>0.63</v>
      </c>
      <c r="J484" s="80">
        <v>0.79</v>
      </c>
      <c r="K484" s="80">
        <v>0.94</v>
      </c>
      <c r="L484" s="80">
        <v>1.06</v>
      </c>
      <c r="M484" s="80">
        <v>1.27</v>
      </c>
      <c r="N484" s="80">
        <v>1.58</v>
      </c>
      <c r="O484" s="80">
        <v>2.01</v>
      </c>
    </row>
    <row r="485" spans="6:15" ht="12.75">
      <c r="F485" s="1">
        <v>190</v>
      </c>
      <c r="G485" s="80">
        <v>0.4</v>
      </c>
      <c r="H485" s="80">
        <v>0.5</v>
      </c>
      <c r="I485" s="80">
        <v>0.58</v>
      </c>
      <c r="J485" s="80">
        <v>0.73</v>
      </c>
      <c r="K485" s="80">
        <v>0.85</v>
      </c>
      <c r="L485" s="80">
        <v>0.95</v>
      </c>
      <c r="M485" s="80">
        <v>1.14</v>
      </c>
      <c r="N485" s="80">
        <v>1.4</v>
      </c>
      <c r="O485" s="80">
        <v>1.79</v>
      </c>
    </row>
    <row r="486" spans="6:15" ht="12.75">
      <c r="F486" s="1">
        <v>200</v>
      </c>
      <c r="G486" s="80">
        <v>0.37</v>
      </c>
      <c r="H486" s="80">
        <v>0.47</v>
      </c>
      <c r="I486" s="80">
        <v>0.54</v>
      </c>
      <c r="J486" s="80">
        <v>0.67</v>
      </c>
      <c r="K486" s="80">
        <v>0.78</v>
      </c>
      <c r="L486" s="80">
        <v>0.86</v>
      </c>
      <c r="M486" s="80">
        <v>1.02</v>
      </c>
      <c r="N486" s="80">
        <v>1.25</v>
      </c>
      <c r="O486" s="80">
        <v>1.6</v>
      </c>
    </row>
    <row r="487" spans="6:15" ht="12.75">
      <c r="F487" s="1">
        <v>210</v>
      </c>
      <c r="G487" s="80">
        <v>0.35</v>
      </c>
      <c r="H487" s="80">
        <v>0.43</v>
      </c>
      <c r="I487" s="80">
        <v>0.5</v>
      </c>
      <c r="J487" s="80">
        <v>0.61</v>
      </c>
      <c r="K487" s="80">
        <v>0.71</v>
      </c>
      <c r="L487" s="80">
        <v>0.78</v>
      </c>
      <c r="M487" s="80">
        <v>0.92</v>
      </c>
      <c r="N487" s="80">
        <v>1.12</v>
      </c>
      <c r="O487" s="80">
        <v>1.43</v>
      </c>
    </row>
    <row r="488" spans="6:15" ht="12.75">
      <c r="F488" s="1">
        <v>220</v>
      </c>
      <c r="G488" s="80">
        <v>0.33</v>
      </c>
      <c r="H488" s="80">
        <v>0.41</v>
      </c>
      <c r="I488" s="80">
        <v>0.46</v>
      </c>
      <c r="J488" s="80">
        <v>0.57</v>
      </c>
      <c r="K488" s="80">
        <v>0.66</v>
      </c>
      <c r="L488" s="80">
        <v>0.72</v>
      </c>
      <c r="M488" s="80">
        <v>0.83</v>
      </c>
      <c r="N488" s="80">
        <v>1.01</v>
      </c>
      <c r="O488" s="80">
        <v>1.29</v>
      </c>
    </row>
    <row r="489" spans="6:15" ht="12.75">
      <c r="F489" s="1">
        <v>230</v>
      </c>
      <c r="G489" s="80">
        <v>0.32</v>
      </c>
      <c r="H489" s="80">
        <v>0.38</v>
      </c>
      <c r="I489" s="80">
        <v>0.43</v>
      </c>
      <c r="J489" s="80">
        <v>0.53</v>
      </c>
      <c r="K489" s="80">
        <v>0.6</v>
      </c>
      <c r="L489" s="80">
        <v>0.66</v>
      </c>
      <c r="M489" s="80">
        <v>0.76</v>
      </c>
      <c r="N489" s="80">
        <v>0.91</v>
      </c>
      <c r="O489" s="80">
        <v>1.16</v>
      </c>
    </row>
    <row r="490" spans="6:15" ht="12.75">
      <c r="F490" s="1">
        <v>240</v>
      </c>
      <c r="G490" s="80">
        <v>0.3</v>
      </c>
      <c r="H490" s="80">
        <v>0.36</v>
      </c>
      <c r="I490" s="80">
        <v>0.4</v>
      </c>
      <c r="J490" s="80">
        <v>0.49</v>
      </c>
      <c r="K490" s="80">
        <v>0.56</v>
      </c>
      <c r="L490" s="80">
        <v>0.61</v>
      </c>
      <c r="M490" s="80">
        <v>0.69</v>
      </c>
      <c r="N490" s="80">
        <v>0.83</v>
      </c>
      <c r="O490" s="80">
        <v>1.06</v>
      </c>
    </row>
    <row r="491" spans="6:15" ht="12.75">
      <c r="F491" s="1">
        <v>250</v>
      </c>
      <c r="G491" s="80">
        <v>0.29</v>
      </c>
      <c r="H491" s="80">
        <v>0.34</v>
      </c>
      <c r="I491" s="80">
        <v>0.38</v>
      </c>
      <c r="J491" s="80">
        <v>0.45</v>
      </c>
      <c r="K491" s="80">
        <v>0.52</v>
      </c>
      <c r="L491" s="80">
        <v>0.56</v>
      </c>
      <c r="M491" s="80">
        <v>0.63</v>
      </c>
      <c r="N491" s="80">
        <v>0.75</v>
      </c>
      <c r="O491" s="80">
        <v>0.96</v>
      </c>
    </row>
    <row r="492" spans="6:15" ht="12.75">
      <c r="F492" s="1">
        <v>260</v>
      </c>
      <c r="G492" s="1">
        <v>0.2739999999999999</v>
      </c>
      <c r="H492" s="1">
        <v>0.31720000000000004</v>
      </c>
      <c r="I492" s="1">
        <v>0.3516999999999999</v>
      </c>
      <c r="J492" s="1">
        <v>0.4080999999999999</v>
      </c>
      <c r="K492" s="1">
        <v>0.4482999999999999</v>
      </c>
      <c r="L492" s="1">
        <v>0.47930000000000006</v>
      </c>
      <c r="M492" s="1">
        <v>0.5327999999999999</v>
      </c>
      <c r="N492" s="1">
        <v>0.6345000000000001</v>
      </c>
      <c r="O492" s="1">
        <v>0.8206999999999995</v>
      </c>
    </row>
    <row r="493" spans="6:15" ht="12.75">
      <c r="F493" s="1">
        <v>270</v>
      </c>
      <c r="G493" s="1">
        <v>0.25799999999999995</v>
      </c>
      <c r="H493" s="1">
        <v>0.2912</v>
      </c>
      <c r="I493" s="1">
        <v>0.3197</v>
      </c>
      <c r="J493" s="1">
        <v>0.36409999999999987</v>
      </c>
      <c r="K493" s="1">
        <v>0.3953</v>
      </c>
      <c r="L493" s="1">
        <v>0.4183000000000001</v>
      </c>
      <c r="M493" s="1">
        <v>0.4538000000000002</v>
      </c>
      <c r="N493" s="1">
        <v>0.5335000000000001</v>
      </c>
      <c r="O493" s="1">
        <v>0.6916999999999995</v>
      </c>
    </row>
    <row r="494" spans="6:15" ht="12.75">
      <c r="F494" s="1">
        <v>280</v>
      </c>
      <c r="G494" s="1">
        <v>0.24199999999999994</v>
      </c>
      <c r="H494" s="1">
        <v>0.2652</v>
      </c>
      <c r="I494" s="1">
        <v>0.28769999999999996</v>
      </c>
      <c r="J494" s="1">
        <v>0.32010000000000005</v>
      </c>
      <c r="K494" s="1">
        <v>0.34230000000000005</v>
      </c>
      <c r="L494" s="1">
        <v>0.35729999999999995</v>
      </c>
      <c r="M494" s="1">
        <v>0.3748</v>
      </c>
      <c r="N494" s="1">
        <v>0.4325</v>
      </c>
      <c r="O494" s="1">
        <v>0.5626999999999995</v>
      </c>
    </row>
    <row r="495" spans="6:15" ht="12.75">
      <c r="F495" s="1">
        <v>290</v>
      </c>
      <c r="G495" s="1">
        <v>0.22599999999999992</v>
      </c>
      <c r="H495" s="1">
        <v>0.23919999999999997</v>
      </c>
      <c r="I495" s="1">
        <v>0.2556999999999999</v>
      </c>
      <c r="J495" s="1">
        <v>0.2761</v>
      </c>
      <c r="K495" s="1">
        <v>0.2893000000000001</v>
      </c>
      <c r="L495" s="1">
        <v>0.2963</v>
      </c>
      <c r="M495" s="1">
        <v>0.29579999999999984</v>
      </c>
      <c r="N495" s="1">
        <v>0.33150000000000013</v>
      </c>
      <c r="O495" s="1">
        <v>0.43369999999999953</v>
      </c>
    </row>
    <row r="496" spans="6:15" ht="12.75">
      <c r="F496" s="1">
        <v>300</v>
      </c>
      <c r="G496" s="1">
        <v>0.21</v>
      </c>
      <c r="H496" s="1">
        <v>0.21320000000000006</v>
      </c>
      <c r="I496" s="1">
        <v>0.2236999999999999</v>
      </c>
      <c r="J496" s="1">
        <v>0.23209999999999997</v>
      </c>
      <c r="K496" s="1">
        <v>0.23629999999999995</v>
      </c>
      <c r="L496" s="1">
        <v>0.23530000000000006</v>
      </c>
      <c r="M496" s="1">
        <v>0.2168000000000001</v>
      </c>
      <c r="N496" s="1">
        <v>0.23050000000000015</v>
      </c>
      <c r="O496" s="1">
        <v>0.3046999999999995</v>
      </c>
    </row>
    <row r="498" ht="12.75">
      <c r="F498" t="s">
        <v>137</v>
      </c>
    </row>
    <row r="505" spans="6:13" ht="12.75">
      <c r="F505" s="403" t="s">
        <v>138</v>
      </c>
      <c r="G505" s="403"/>
      <c r="H505" s="403"/>
      <c r="I505" s="403"/>
      <c r="J505" s="403"/>
      <c r="K505" s="403"/>
      <c r="L505" s="403"/>
      <c r="M505" s="403"/>
    </row>
    <row r="506" spans="6:13" ht="12.75">
      <c r="F506" s="403"/>
      <c r="G506" s="403"/>
      <c r="H506" s="403"/>
      <c r="I506" s="403"/>
      <c r="J506" s="403"/>
      <c r="K506" s="403"/>
      <c r="L506" s="403"/>
      <c r="M506" s="403"/>
    </row>
    <row r="507" ht="12.75">
      <c r="J507" s="130"/>
    </row>
    <row r="509" spans="2:15" ht="12.75">
      <c r="B509" s="58" t="s">
        <v>53</v>
      </c>
      <c r="C509" t="s">
        <v>54</v>
      </c>
      <c r="G509" s="407" t="s">
        <v>96</v>
      </c>
      <c r="H509" s="408"/>
      <c r="I509" s="408"/>
      <c r="J509" s="408"/>
      <c r="K509" s="408"/>
      <c r="L509" s="408"/>
      <c r="M509" s="408"/>
      <c r="N509" s="408"/>
      <c r="O509" s="409"/>
    </row>
    <row r="510" spans="2:15" ht="12.75">
      <c r="B510" s="58" t="s">
        <v>55</v>
      </c>
      <c r="D510" t="s">
        <v>94</v>
      </c>
      <c r="F510" s="1"/>
      <c r="G510" s="114">
        <v>10</v>
      </c>
      <c r="H510" s="115">
        <v>20</v>
      </c>
      <c r="I510" s="115">
        <v>30</v>
      </c>
      <c r="J510" s="115">
        <v>40</v>
      </c>
      <c r="K510" s="115">
        <v>50</v>
      </c>
      <c r="L510" s="115">
        <v>60</v>
      </c>
      <c r="M510" s="115">
        <v>70</v>
      </c>
      <c r="N510" s="115">
        <v>80</v>
      </c>
      <c r="O510" s="116">
        <v>90</v>
      </c>
    </row>
    <row r="511" spans="2:15" ht="12.75">
      <c r="B511" s="58" t="s">
        <v>56</v>
      </c>
      <c r="D511" t="s">
        <v>42</v>
      </c>
      <c r="F511" s="9" t="s">
        <v>97</v>
      </c>
      <c r="G511" s="9" t="s">
        <v>129</v>
      </c>
      <c r="H511" s="9" t="s">
        <v>129</v>
      </c>
      <c r="I511" s="9" t="s">
        <v>129</v>
      </c>
      <c r="J511" s="9" t="s">
        <v>129</v>
      </c>
      <c r="K511" s="9" t="s">
        <v>129</v>
      </c>
      <c r="L511" s="9" t="s">
        <v>129</v>
      </c>
      <c r="M511" s="9" t="s">
        <v>129</v>
      </c>
      <c r="N511" s="9" t="s">
        <v>129</v>
      </c>
      <c r="O511" s="9" t="s">
        <v>129</v>
      </c>
    </row>
    <row r="512" spans="2:15" ht="12.75">
      <c r="B512" s="58" t="s">
        <v>57</v>
      </c>
      <c r="C512">
        <v>6</v>
      </c>
      <c r="D512" t="s">
        <v>94</v>
      </c>
      <c r="F512" s="9" t="s">
        <v>99</v>
      </c>
      <c r="G512" s="9" t="s">
        <v>136</v>
      </c>
      <c r="H512" s="9" t="s">
        <v>136</v>
      </c>
      <c r="I512" s="9" t="s">
        <v>136</v>
      </c>
      <c r="J512" s="9" t="s">
        <v>136</v>
      </c>
      <c r="K512" s="9" t="s">
        <v>136</v>
      </c>
      <c r="L512" s="9" t="s">
        <v>136</v>
      </c>
      <c r="M512" s="9" t="s">
        <v>136</v>
      </c>
      <c r="N512" s="9" t="s">
        <v>136</v>
      </c>
      <c r="O512" s="9" t="s">
        <v>136</v>
      </c>
    </row>
    <row r="513" spans="2:15" ht="12.75">
      <c r="B513" s="58" t="s">
        <v>58</v>
      </c>
      <c r="C513">
        <v>510</v>
      </c>
      <c r="D513" t="s">
        <v>42</v>
      </c>
      <c r="F513" s="9">
        <v>-30</v>
      </c>
      <c r="G513" s="131"/>
      <c r="H513" s="132"/>
      <c r="I513" s="132"/>
      <c r="J513" s="132"/>
      <c r="K513" s="132"/>
      <c r="L513" s="132">
        <v>497.57</v>
      </c>
      <c r="M513" s="132">
        <v>864.87</v>
      </c>
      <c r="N513" s="132">
        <v>1363.75</v>
      </c>
      <c r="O513" s="132">
        <v>3555.22</v>
      </c>
    </row>
    <row r="514" spans="2:15" ht="12.75">
      <c r="B514" s="58" t="s">
        <v>59</v>
      </c>
      <c r="C514">
        <v>519</v>
      </c>
      <c r="F514" s="9">
        <v>-20</v>
      </c>
      <c r="G514" s="131"/>
      <c r="H514" s="132"/>
      <c r="I514" s="132"/>
      <c r="J514" s="132"/>
      <c r="K514" s="132">
        <v>156.08</v>
      </c>
      <c r="L514" s="132">
        <v>298.75</v>
      </c>
      <c r="M514" s="132">
        <v>493.93</v>
      </c>
      <c r="N514" s="132">
        <v>820.58</v>
      </c>
      <c r="O514" s="132">
        <v>1819.72</v>
      </c>
    </row>
    <row r="515" spans="2:15" ht="12.75">
      <c r="B515" s="58" t="s">
        <v>60</v>
      </c>
      <c r="C515">
        <v>546</v>
      </c>
      <c r="F515" s="9">
        <v>-10</v>
      </c>
      <c r="G515" s="131"/>
      <c r="H515" s="132"/>
      <c r="I515" s="132"/>
      <c r="J515" s="132"/>
      <c r="K515" s="132">
        <v>95.97</v>
      </c>
      <c r="L515" s="132">
        <v>182.96</v>
      </c>
      <c r="M515" s="132">
        <v>291.28</v>
      </c>
      <c r="N515" s="132">
        <v>495.68</v>
      </c>
      <c r="O515" s="132">
        <v>983.05</v>
      </c>
    </row>
    <row r="516" spans="2:15" ht="12.75">
      <c r="B516" s="58" t="s">
        <v>61</v>
      </c>
      <c r="C516">
        <v>7</v>
      </c>
      <c r="F516" s="9">
        <v>0</v>
      </c>
      <c r="G516" s="131"/>
      <c r="H516" s="132"/>
      <c r="I516" s="132"/>
      <c r="J516" s="132">
        <v>40.99</v>
      </c>
      <c r="K516" s="132">
        <v>61.32</v>
      </c>
      <c r="L516" s="132">
        <v>114.9</v>
      </c>
      <c r="M516" s="132">
        <v>177.73</v>
      </c>
      <c r="N516" s="132">
        <v>303.94</v>
      </c>
      <c r="O516" s="132">
        <v>558.32</v>
      </c>
    </row>
    <row r="517" spans="2:15" ht="12.75">
      <c r="B517" s="58" t="s">
        <v>62</v>
      </c>
      <c r="C517">
        <v>15</v>
      </c>
      <c r="F517" s="9">
        <v>10</v>
      </c>
      <c r="G517" s="131"/>
      <c r="H517" s="132"/>
      <c r="I517" s="132">
        <v>13.44</v>
      </c>
      <c r="J517" s="132">
        <v>27.17</v>
      </c>
      <c r="K517" s="132">
        <v>40.62</v>
      </c>
      <c r="L517" s="132">
        <v>74.19</v>
      </c>
      <c r="M517" s="132">
        <v>112.2</v>
      </c>
      <c r="N517" s="132">
        <v>190.41</v>
      </c>
      <c r="O517" s="132">
        <v>332.02</v>
      </c>
    </row>
    <row r="518" spans="2:15" ht="12.75">
      <c r="B518" s="58" t="s">
        <v>63</v>
      </c>
      <c r="C518" s="118">
        <v>0.0008567999999999999</v>
      </c>
      <c r="D518" t="s">
        <v>129</v>
      </c>
      <c r="F518" s="9">
        <v>20</v>
      </c>
      <c r="G518" s="131"/>
      <c r="H518" s="132">
        <v>5.36</v>
      </c>
      <c r="I518" s="132">
        <v>9.91</v>
      </c>
      <c r="J518" s="132">
        <v>18.64</v>
      </c>
      <c r="K518" s="132">
        <v>27.83</v>
      </c>
      <c r="L518" s="132">
        <v>49.29</v>
      </c>
      <c r="M518" s="132">
        <v>73.22</v>
      </c>
      <c r="N518" s="132">
        <v>122.3</v>
      </c>
      <c r="O518" s="132">
        <v>205.91</v>
      </c>
    </row>
    <row r="519" spans="6:15" ht="12.75">
      <c r="F519" s="9">
        <v>30</v>
      </c>
      <c r="G519" s="131">
        <v>2.8</v>
      </c>
      <c r="H519" s="132">
        <v>4.23</v>
      </c>
      <c r="I519" s="132">
        <v>7.47</v>
      </c>
      <c r="J519" s="132">
        <v>13.2</v>
      </c>
      <c r="K519" s="132">
        <v>19.66</v>
      </c>
      <c r="L519" s="132">
        <v>33.68</v>
      </c>
      <c r="M519" s="132">
        <v>49.32</v>
      </c>
      <c r="N519" s="132">
        <v>80.66</v>
      </c>
      <c r="O519" s="132">
        <v>132.67</v>
      </c>
    </row>
    <row r="520" spans="6:15" ht="12.75">
      <c r="F520" s="9">
        <v>40</v>
      </c>
      <c r="G520" s="131">
        <v>2.28</v>
      </c>
      <c r="H520" s="132">
        <v>3.41</v>
      </c>
      <c r="I520" s="132">
        <v>5.75</v>
      </c>
      <c r="J520" s="132">
        <v>9.63</v>
      </c>
      <c r="K520" s="132">
        <v>14.28</v>
      </c>
      <c r="L520" s="132">
        <v>23.65</v>
      </c>
      <c r="M520" s="132">
        <v>34.22</v>
      </c>
      <c r="N520" s="132">
        <v>54.64</v>
      </c>
      <c r="O520" s="132">
        <v>88.51</v>
      </c>
    </row>
    <row r="521" spans="6:15" ht="12.75">
      <c r="F521" s="9">
        <v>50</v>
      </c>
      <c r="G521" s="131">
        <v>1.89</v>
      </c>
      <c r="H521" s="132">
        <v>2.79</v>
      </c>
      <c r="I521" s="132">
        <v>4.52</v>
      </c>
      <c r="J521" s="132">
        <v>7.22</v>
      </c>
      <c r="K521" s="132">
        <v>10.65</v>
      </c>
      <c r="L521" s="132">
        <v>17.05</v>
      </c>
      <c r="M521" s="132">
        <v>24.41</v>
      </c>
      <c r="N521" s="132">
        <v>37.99</v>
      </c>
      <c r="O521" s="132">
        <v>60.93</v>
      </c>
    </row>
    <row r="522" spans="6:15" ht="12.75">
      <c r="F522" s="9">
        <v>60</v>
      </c>
      <c r="G522" s="132">
        <v>1.6</v>
      </c>
      <c r="H522" s="132">
        <v>2.32</v>
      </c>
      <c r="I522" s="132">
        <v>3.61</v>
      </c>
      <c r="J522" s="132">
        <v>5.55</v>
      </c>
      <c r="K522" s="132">
        <v>8.13</v>
      </c>
      <c r="L522" s="132">
        <v>12.59</v>
      </c>
      <c r="M522" s="132">
        <v>17.86</v>
      </c>
      <c r="N522" s="132">
        <v>27.1</v>
      </c>
      <c r="O522" s="132">
        <v>43.16</v>
      </c>
    </row>
    <row r="523" spans="6:15" ht="12.75">
      <c r="F523" s="9">
        <v>70</v>
      </c>
      <c r="G523" s="132">
        <v>1.38</v>
      </c>
      <c r="H523" s="132">
        <v>1.95</v>
      </c>
      <c r="I523" s="132">
        <v>2.94</v>
      </c>
      <c r="J523" s="132">
        <v>4.36</v>
      </c>
      <c r="K523" s="132">
        <v>6.34</v>
      </c>
      <c r="L523" s="132">
        <v>9.51</v>
      </c>
      <c r="M523" s="132">
        <v>13.38</v>
      </c>
      <c r="N523" s="132">
        <v>19.79</v>
      </c>
      <c r="O523" s="132">
        <v>31.37</v>
      </c>
    </row>
    <row r="524" spans="6:15" ht="12.75">
      <c r="F524" s="9">
        <v>80</v>
      </c>
      <c r="G524" s="132">
        <v>1.2</v>
      </c>
      <c r="H524" s="132">
        <v>1.66</v>
      </c>
      <c r="I524" s="132">
        <v>2.43</v>
      </c>
      <c r="J524" s="132">
        <v>3.5</v>
      </c>
      <c r="K524" s="132">
        <v>5.04</v>
      </c>
      <c r="L524" s="132">
        <v>7.34</v>
      </c>
      <c r="M524" s="132">
        <v>10.25</v>
      </c>
      <c r="N524" s="132">
        <v>14.79</v>
      </c>
      <c r="O524" s="132">
        <v>23.35</v>
      </c>
    </row>
    <row r="525" spans="6:15" ht="12.75">
      <c r="F525" s="9">
        <v>90</v>
      </c>
      <c r="G525" s="132">
        <v>1.05</v>
      </c>
      <c r="H525" s="132">
        <v>1.43</v>
      </c>
      <c r="I525" s="132">
        <v>2.04</v>
      </c>
      <c r="J525" s="132">
        <v>2.86</v>
      </c>
      <c r="K525" s="132">
        <v>4.08</v>
      </c>
      <c r="L525" s="132">
        <v>5.77</v>
      </c>
      <c r="M525" s="132">
        <v>8</v>
      </c>
      <c r="N525" s="132">
        <v>11.29</v>
      </c>
      <c r="O525" s="132">
        <v>17.75</v>
      </c>
    </row>
    <row r="526" spans="6:15" ht="12.75">
      <c r="F526" s="9">
        <v>100</v>
      </c>
      <c r="G526" s="132">
        <v>0.93</v>
      </c>
      <c r="H526" s="132">
        <v>1.25</v>
      </c>
      <c r="I526" s="132">
        <v>1.73</v>
      </c>
      <c r="J526" s="132">
        <v>2.37</v>
      </c>
      <c r="K526" s="132">
        <v>3.35</v>
      </c>
      <c r="L526" s="132">
        <v>4.62</v>
      </c>
      <c r="M526" s="132">
        <v>6.37</v>
      </c>
      <c r="N526" s="132">
        <v>8.79</v>
      </c>
      <c r="O526" s="132">
        <v>13.76</v>
      </c>
    </row>
    <row r="527" spans="6:15" ht="12.75">
      <c r="F527" s="9">
        <v>110</v>
      </c>
      <c r="G527" s="132">
        <v>0.83</v>
      </c>
      <c r="H527" s="132">
        <v>1.1</v>
      </c>
      <c r="I527" s="132">
        <v>1.49</v>
      </c>
      <c r="J527" s="132">
        <v>2</v>
      </c>
      <c r="K527" s="132">
        <v>2.79</v>
      </c>
      <c r="L527" s="132">
        <v>3.76</v>
      </c>
      <c r="M527" s="132">
        <v>5.15</v>
      </c>
      <c r="N527" s="132">
        <v>6.97</v>
      </c>
      <c r="O527" s="132">
        <v>10.86</v>
      </c>
    </row>
    <row r="528" spans="6:15" ht="12.75">
      <c r="F528" s="9">
        <v>120</v>
      </c>
      <c r="G528" s="132">
        <v>0.75</v>
      </c>
      <c r="H528" s="132">
        <v>0.97</v>
      </c>
      <c r="I528" s="132">
        <v>1.3</v>
      </c>
      <c r="J528" s="132">
        <v>1.71</v>
      </c>
      <c r="K528" s="132">
        <v>2.36</v>
      </c>
      <c r="L528" s="132">
        <v>3.11</v>
      </c>
      <c r="M528" s="132">
        <v>4.23</v>
      </c>
      <c r="N528" s="132">
        <v>5.62</v>
      </c>
      <c r="O528" s="132">
        <v>8.71</v>
      </c>
    </row>
    <row r="529" spans="6:15" ht="12.75">
      <c r="F529" s="9">
        <v>130</v>
      </c>
      <c r="G529" s="132">
        <v>0.68</v>
      </c>
      <c r="H529" s="132">
        <v>0.87</v>
      </c>
      <c r="I529" s="132">
        <v>1.14</v>
      </c>
      <c r="J529" s="132">
        <v>1.49</v>
      </c>
      <c r="K529" s="132">
        <v>2.02</v>
      </c>
      <c r="L529" s="132">
        <v>2.61</v>
      </c>
      <c r="M529" s="132">
        <v>3.53</v>
      </c>
      <c r="N529" s="132">
        <v>4.6</v>
      </c>
      <c r="O529" s="132">
        <v>7.09</v>
      </c>
    </row>
    <row r="530" spans="6:15" ht="12.75">
      <c r="F530" s="9">
        <v>140</v>
      </c>
      <c r="G530" s="132">
        <v>0.62</v>
      </c>
      <c r="H530" s="132">
        <v>0.78</v>
      </c>
      <c r="I530" s="132">
        <v>1.01</v>
      </c>
      <c r="J530" s="132">
        <v>1.3</v>
      </c>
      <c r="K530" s="132">
        <v>1.75</v>
      </c>
      <c r="L530" s="132">
        <v>2.22</v>
      </c>
      <c r="M530" s="132">
        <v>2.98</v>
      </c>
      <c r="N530" s="132">
        <v>3.82</v>
      </c>
      <c r="O530" s="132">
        <v>5.85</v>
      </c>
    </row>
    <row r="531" spans="6:15" ht="12.75">
      <c r="F531" s="9">
        <v>150</v>
      </c>
      <c r="G531" s="132">
        <v>0.57</v>
      </c>
      <c r="H531" s="132">
        <v>0.71</v>
      </c>
      <c r="I531" s="132">
        <v>0.9</v>
      </c>
      <c r="J531" s="132">
        <v>1.16</v>
      </c>
      <c r="K531" s="132">
        <v>1.53</v>
      </c>
      <c r="L531" s="132">
        <v>1.91</v>
      </c>
      <c r="M531" s="132">
        <v>2.54</v>
      </c>
      <c r="N531" s="132">
        <v>3.22</v>
      </c>
      <c r="O531" s="132">
        <v>4.89</v>
      </c>
    </row>
    <row r="532" spans="6:15" ht="12.75">
      <c r="F532" s="9">
        <v>160</v>
      </c>
      <c r="G532" s="132">
        <v>0.52</v>
      </c>
      <c r="H532" s="132">
        <v>0.64</v>
      </c>
      <c r="I532" s="132">
        <v>0.82</v>
      </c>
      <c r="J532" s="132">
        <v>1.03</v>
      </c>
      <c r="K532" s="132">
        <v>1.35</v>
      </c>
      <c r="L532" s="132">
        <v>1.66</v>
      </c>
      <c r="M532" s="132">
        <v>2.19</v>
      </c>
      <c r="N532" s="132">
        <v>2.75</v>
      </c>
      <c r="O532" s="132">
        <v>4.13</v>
      </c>
    </row>
    <row r="533" spans="6:15" ht="12.75">
      <c r="F533" s="9">
        <v>170</v>
      </c>
      <c r="G533" s="132">
        <v>0.48</v>
      </c>
      <c r="H533" s="132">
        <v>0.59</v>
      </c>
      <c r="I533" s="132">
        <v>0.74</v>
      </c>
      <c r="J533" s="132">
        <v>0.93</v>
      </c>
      <c r="K533" s="132">
        <v>1.2</v>
      </c>
      <c r="L533" s="132">
        <v>1.45</v>
      </c>
      <c r="M533" s="132">
        <v>1.91</v>
      </c>
      <c r="N533" s="132">
        <v>2.37</v>
      </c>
      <c r="O533" s="132">
        <v>3.52</v>
      </c>
    </row>
    <row r="534" spans="6:15" ht="12.75">
      <c r="F534" s="9">
        <v>180</v>
      </c>
      <c r="G534" s="132">
        <v>0.44</v>
      </c>
      <c r="H534" s="132">
        <v>0.54</v>
      </c>
      <c r="I534" s="132">
        <v>0.68</v>
      </c>
      <c r="J534" s="132">
        <v>0.85</v>
      </c>
      <c r="K534" s="132">
        <v>1.08</v>
      </c>
      <c r="L534" s="132">
        <v>1.29</v>
      </c>
      <c r="M534" s="132">
        <v>1.69</v>
      </c>
      <c r="N534" s="132">
        <v>2.07</v>
      </c>
      <c r="O534" s="132">
        <v>3.04</v>
      </c>
    </row>
    <row r="535" spans="6:15" ht="12.75">
      <c r="F535" s="9">
        <v>190</v>
      </c>
      <c r="G535" s="132">
        <v>0.41</v>
      </c>
      <c r="H535" s="132">
        <v>0.5</v>
      </c>
      <c r="I535" s="132">
        <v>0.62</v>
      </c>
      <c r="J535" s="132">
        <v>0.78</v>
      </c>
      <c r="K535" s="132">
        <v>0.97</v>
      </c>
      <c r="L535" s="132">
        <v>1.15</v>
      </c>
      <c r="M535" s="132">
        <v>1.5</v>
      </c>
      <c r="N535" s="132">
        <v>1.82</v>
      </c>
      <c r="O535" s="132">
        <v>2.64</v>
      </c>
    </row>
    <row r="536" spans="6:15" ht="12.75">
      <c r="F536" s="9">
        <v>200</v>
      </c>
      <c r="G536" s="132">
        <v>0.38</v>
      </c>
      <c r="H536" s="132">
        <v>0.46</v>
      </c>
      <c r="I536" s="132">
        <v>0.58</v>
      </c>
      <c r="J536" s="132">
        <v>0.72</v>
      </c>
      <c r="K536" s="132">
        <v>0.88</v>
      </c>
      <c r="L536" s="132">
        <v>1.04</v>
      </c>
      <c r="M536" s="132">
        <v>1.34</v>
      </c>
      <c r="N536" s="132">
        <v>1.61</v>
      </c>
      <c r="O536" s="132">
        <v>2.31</v>
      </c>
    </row>
    <row r="537" spans="6:15" ht="12.75">
      <c r="F537" s="9">
        <v>210</v>
      </c>
      <c r="G537" s="132">
        <v>0.36</v>
      </c>
      <c r="H537" s="132">
        <v>0.43</v>
      </c>
      <c r="I537" s="132">
        <v>0.54</v>
      </c>
      <c r="J537" s="132">
        <v>0.67</v>
      </c>
      <c r="K537" s="132">
        <v>0.81</v>
      </c>
      <c r="L537" s="132">
        <v>0.94</v>
      </c>
      <c r="M537" s="132">
        <v>1.21</v>
      </c>
      <c r="N537" s="132">
        <v>1.45</v>
      </c>
      <c r="O537" s="132">
        <v>2.04</v>
      </c>
    </row>
    <row r="538" spans="6:15" ht="12.75">
      <c r="F538" s="9">
        <v>220</v>
      </c>
      <c r="G538" s="132">
        <v>0.34</v>
      </c>
      <c r="H538" s="132">
        <v>0.4</v>
      </c>
      <c r="I538" s="132">
        <v>0.5</v>
      </c>
      <c r="J538" s="132">
        <v>0.62</v>
      </c>
      <c r="K538" s="131">
        <v>0.74</v>
      </c>
      <c r="L538" s="132">
        <v>0.86</v>
      </c>
      <c r="M538" s="132">
        <v>1.1</v>
      </c>
      <c r="N538" s="132">
        <v>1.31</v>
      </c>
      <c r="O538" s="132">
        <v>1.82</v>
      </c>
    </row>
    <row r="539" spans="6:15" ht="12.75">
      <c r="F539" s="20">
        <v>230</v>
      </c>
      <c r="G539" s="132">
        <v>0.32</v>
      </c>
      <c r="H539" s="132">
        <v>0.38</v>
      </c>
      <c r="I539" s="132">
        <v>0.47</v>
      </c>
      <c r="J539" s="132">
        <v>0.59</v>
      </c>
      <c r="K539" s="132">
        <v>0.69</v>
      </c>
      <c r="L539" s="132">
        <v>0.79</v>
      </c>
      <c r="M539" s="132">
        <v>1</v>
      </c>
      <c r="N539" s="132">
        <v>1.19</v>
      </c>
      <c r="O539" s="132">
        <v>1.63</v>
      </c>
    </row>
    <row r="540" spans="6:15" ht="12.75">
      <c r="F540" s="20">
        <v>240</v>
      </c>
      <c r="G540" s="132">
        <v>0.3</v>
      </c>
      <c r="H540" s="132">
        <v>0.36</v>
      </c>
      <c r="I540" s="132">
        <v>0.45</v>
      </c>
      <c r="J540" s="132">
        <v>0.55</v>
      </c>
      <c r="K540" s="132">
        <v>0.64</v>
      </c>
      <c r="L540" s="132">
        <v>0.73</v>
      </c>
      <c r="M540" s="132">
        <v>0.92</v>
      </c>
      <c r="N540" s="132">
        <v>1.09</v>
      </c>
      <c r="O540" s="132">
        <v>1.47</v>
      </c>
    </row>
    <row r="541" spans="6:15" ht="12.75">
      <c r="F541" s="20">
        <v>250</v>
      </c>
      <c r="G541" s="132">
        <v>0.28</v>
      </c>
      <c r="H541" s="132">
        <v>0.34</v>
      </c>
      <c r="I541" s="132">
        <v>0.42</v>
      </c>
      <c r="J541" s="132">
        <v>0.52</v>
      </c>
      <c r="K541" s="132">
        <v>0.59</v>
      </c>
      <c r="L541" s="132">
        <v>0.68</v>
      </c>
      <c r="M541" s="132">
        <v>0.85</v>
      </c>
      <c r="N541" s="132">
        <v>1</v>
      </c>
      <c r="O541" s="132">
        <v>1.33</v>
      </c>
    </row>
    <row r="542" spans="6:15" ht="12.75">
      <c r="F542" s="20">
        <v>260</v>
      </c>
      <c r="G542" s="132">
        <f>0.78-0.002*F542</f>
        <v>0.26</v>
      </c>
      <c r="H542" s="132">
        <f>0.9421-0.0024*F542</f>
        <v>0.31810000000000005</v>
      </c>
      <c r="I542" s="132">
        <f>1.2237-0.0032*F542</f>
        <v>0.39169999999999994</v>
      </c>
      <c r="J542" s="132">
        <f>1.8263-0.0053*F542</f>
        <v>0.4482999999999999</v>
      </c>
      <c r="K542" s="132">
        <f>2.0442-0.0058*F542</f>
        <v>0.5362</v>
      </c>
      <c r="L542" s="132">
        <f>2.4889-0.0073*F542</f>
        <v>0.5909000000000002</v>
      </c>
      <c r="M542" s="132">
        <f>3.3121-0.0099*F542</f>
        <v>0.7380999999999998</v>
      </c>
      <c r="N542" s="132">
        <f>4.0642-0.0123*F542</f>
        <v>0.8661999999999996</v>
      </c>
      <c r="O542" s="132">
        <f>6.2542-0.0198*F542</f>
        <v>1.1061999999999994</v>
      </c>
    </row>
    <row r="543" spans="6:15" ht="12.75">
      <c r="F543" s="20">
        <v>270</v>
      </c>
      <c r="G543" s="1">
        <v>0.24</v>
      </c>
      <c r="H543" s="1">
        <v>0.29410000000000014</v>
      </c>
      <c r="I543" s="1">
        <v>0.3597</v>
      </c>
      <c r="J543" s="1">
        <v>0.3953</v>
      </c>
      <c r="K543" s="1">
        <v>0.4782000000000002</v>
      </c>
      <c r="L543" s="1">
        <v>0.5179</v>
      </c>
      <c r="M543" s="1">
        <v>0.6391</v>
      </c>
      <c r="N543" s="1">
        <v>0.7431999999999994</v>
      </c>
      <c r="O543" s="1">
        <v>0.9081999999999999</v>
      </c>
    </row>
    <row r="544" spans="6:15" ht="12.75">
      <c r="F544" s="20">
        <v>280</v>
      </c>
      <c r="G544" s="1">
        <v>0.22</v>
      </c>
      <c r="H544" s="1">
        <v>0.2701000000000001</v>
      </c>
      <c r="I544" s="1">
        <v>0.3277</v>
      </c>
      <c r="J544" s="1">
        <v>0.34230000000000005</v>
      </c>
      <c r="K544" s="1">
        <v>0.42020000000000013</v>
      </c>
      <c r="L544" s="1">
        <v>0.4449000000000001</v>
      </c>
      <c r="M544" s="1">
        <v>0.5400999999999998</v>
      </c>
      <c r="N544" s="1">
        <v>0.6201999999999996</v>
      </c>
      <c r="O544" s="1">
        <v>0.7101999999999995</v>
      </c>
    </row>
    <row r="545" spans="6:15" ht="12.75">
      <c r="F545" s="20">
        <v>290</v>
      </c>
      <c r="G545" s="1">
        <v>0.2</v>
      </c>
      <c r="H545" s="1">
        <v>0.2461000000000001</v>
      </c>
      <c r="I545" s="1">
        <v>0.29569999999999996</v>
      </c>
      <c r="J545" s="1">
        <v>0.2893000000000001</v>
      </c>
      <c r="K545" s="1">
        <v>0.3622000000000001</v>
      </c>
      <c r="L545" s="1">
        <v>0.3719000000000001</v>
      </c>
      <c r="M545" s="1">
        <v>0.4410999999999996</v>
      </c>
      <c r="N545" s="1">
        <v>0.4971999999999994</v>
      </c>
      <c r="O545" s="1">
        <v>0.5121999999999991</v>
      </c>
    </row>
    <row r="546" spans="6:15" ht="12.75">
      <c r="F546" s="20">
        <v>300</v>
      </c>
      <c r="G546" s="1">
        <v>0.18</v>
      </c>
      <c r="H546" s="1">
        <v>0.22210000000000008</v>
      </c>
      <c r="I546" s="1">
        <v>0.26369999999999993</v>
      </c>
      <c r="J546" s="1">
        <v>0.23629999999999995</v>
      </c>
      <c r="K546" s="1">
        <v>0.30420000000000025</v>
      </c>
      <c r="L546" s="1">
        <v>0.29890000000000017</v>
      </c>
      <c r="M546" s="1">
        <v>0.34209999999999985</v>
      </c>
      <c r="N546" s="1">
        <v>0.37419999999999964</v>
      </c>
      <c r="O546" s="1">
        <v>0.3141999999999996</v>
      </c>
    </row>
    <row r="548" ht="12.75">
      <c r="F548" t="s">
        <v>137</v>
      </c>
    </row>
    <row r="555" spans="6:13" ht="12.75">
      <c r="F555" s="396" t="s">
        <v>139</v>
      </c>
      <c r="G555" s="397"/>
      <c r="H555" s="397"/>
      <c r="I555" s="397"/>
      <c r="J555" s="397"/>
      <c r="K555" s="397"/>
      <c r="L555" s="397"/>
      <c r="M555" s="398"/>
    </row>
    <row r="556" spans="6:13" ht="12.75">
      <c r="F556" s="399"/>
      <c r="G556" s="400"/>
      <c r="H556" s="400"/>
      <c r="I556" s="400"/>
      <c r="J556" s="400"/>
      <c r="K556" s="400"/>
      <c r="L556" s="400"/>
      <c r="M556" s="401"/>
    </row>
    <row r="559" spans="2:3" ht="12.75">
      <c r="B559" s="58" t="s">
        <v>103</v>
      </c>
      <c r="C559">
        <v>6</v>
      </c>
    </row>
    <row r="560" spans="2:6" ht="12.75">
      <c r="B560" s="58" t="s">
        <v>67</v>
      </c>
      <c r="C560">
        <v>7</v>
      </c>
      <c r="F560" t="s">
        <v>140</v>
      </c>
    </row>
    <row r="561" spans="2:6" ht="12.75">
      <c r="B561" s="58" t="s">
        <v>59</v>
      </c>
      <c r="C561">
        <v>564</v>
      </c>
      <c r="F561" t="s">
        <v>141</v>
      </c>
    </row>
    <row r="562" spans="2:3" ht="12.75">
      <c r="B562" s="58" t="s">
        <v>60</v>
      </c>
      <c r="C562">
        <v>572</v>
      </c>
    </row>
    <row r="563" spans="2:7" ht="12.75">
      <c r="B563" s="58" t="s">
        <v>113</v>
      </c>
      <c r="C563" s="118">
        <v>0.048464504691197834</v>
      </c>
      <c r="D563" s="13" t="s">
        <v>142</v>
      </c>
      <c r="F563" s="1" t="s">
        <v>143</v>
      </c>
      <c r="G563" t="s">
        <v>144</v>
      </c>
    </row>
    <row r="564" spans="2:7" ht="12.75">
      <c r="B564" s="58" t="s">
        <v>133</v>
      </c>
      <c r="C564">
        <v>2174.583733376585</v>
      </c>
      <c r="D564" t="s">
        <v>145</v>
      </c>
      <c r="F564" s="133">
        <v>2300</v>
      </c>
      <c r="G564">
        <v>0.048</v>
      </c>
    </row>
    <row r="565" spans="6:7" ht="12.75">
      <c r="F565" s="133">
        <v>5000</v>
      </c>
      <c r="G565">
        <v>0.038</v>
      </c>
    </row>
    <row r="566" spans="6:7" ht="12.75">
      <c r="F566" s="133">
        <v>10000</v>
      </c>
      <c r="G566">
        <v>0.032</v>
      </c>
    </row>
    <row r="567" spans="6:7" ht="12.75">
      <c r="F567" s="133">
        <v>50000</v>
      </c>
      <c r="G567">
        <v>0.022</v>
      </c>
    </row>
    <row r="568" spans="6:7" ht="12.75">
      <c r="F568" s="133">
        <v>100000</v>
      </c>
      <c r="G568">
        <v>0.018</v>
      </c>
    </row>
    <row r="569" spans="6:7" ht="12.75">
      <c r="F569" s="133">
        <v>500000</v>
      </c>
      <c r="G569">
        <v>0.014</v>
      </c>
    </row>
    <row r="570" spans="6:7" ht="12.75">
      <c r="F570" s="133">
        <v>1000000</v>
      </c>
      <c r="G570">
        <v>0.011</v>
      </c>
    </row>
    <row r="571" spans="6:7" ht="12.75">
      <c r="F571" s="133">
        <v>5000000</v>
      </c>
      <c r="G571">
        <v>0.0091</v>
      </c>
    </row>
    <row r="572" spans="6:7" ht="12.75">
      <c r="F572" s="133">
        <v>10000000</v>
      </c>
      <c r="G572">
        <v>0.0082</v>
      </c>
    </row>
    <row r="578" spans="6:12" ht="12.75">
      <c r="F578" s="402" t="s">
        <v>152</v>
      </c>
      <c r="G578" s="402"/>
      <c r="H578" s="402"/>
      <c r="I578" s="402"/>
      <c r="J578" s="402"/>
      <c r="K578" s="402"/>
      <c r="L578" s="402"/>
    </row>
    <row r="579" spans="6:12" ht="12.75">
      <c r="F579" s="402"/>
      <c r="G579" s="402"/>
      <c r="H579" s="402"/>
      <c r="I579" s="402"/>
      <c r="J579" s="402"/>
      <c r="K579" s="402"/>
      <c r="L579" s="402"/>
    </row>
    <row r="581" ht="12.75">
      <c r="F581" t="s">
        <v>146</v>
      </c>
    </row>
    <row r="582" spans="6:10" ht="12.75">
      <c r="F582" s="1" t="s">
        <v>46</v>
      </c>
      <c r="G582" s="1" t="s">
        <v>147</v>
      </c>
      <c r="H582" s="1" t="s">
        <v>148</v>
      </c>
      <c r="J582" s="1" t="s">
        <v>149</v>
      </c>
    </row>
    <row r="583" spans="6:10" ht="12.75">
      <c r="F583" s="22" t="s">
        <v>9</v>
      </c>
      <c r="G583" s="1">
        <f>158</f>
        <v>158</v>
      </c>
      <c r="H583" s="1">
        <v>220</v>
      </c>
      <c r="J583" s="1">
        <v>1.313</v>
      </c>
    </row>
    <row r="584" spans="6:8" ht="12.75">
      <c r="F584" s="22" t="s">
        <v>10</v>
      </c>
      <c r="G584" s="1">
        <v>178</v>
      </c>
      <c r="H584" s="1">
        <v>245</v>
      </c>
    </row>
    <row r="585" spans="6:8" ht="12.75">
      <c r="F585" s="22" t="s">
        <v>11</v>
      </c>
      <c r="G585" s="1">
        <v>190</v>
      </c>
      <c r="H585" s="1">
        <v>260</v>
      </c>
    </row>
    <row r="586" spans="6:8" ht="12.75">
      <c r="F586" s="22" t="s">
        <v>12</v>
      </c>
      <c r="G586" s="1">
        <v>212</v>
      </c>
      <c r="H586" s="1">
        <v>310</v>
      </c>
    </row>
    <row r="587" spans="6:8" ht="12.75">
      <c r="F587" s="22" t="s">
        <v>13</v>
      </c>
      <c r="G587" s="1">
        <v>225</v>
      </c>
      <c r="H587" s="1">
        <v>325</v>
      </c>
    </row>
    <row r="588" spans="6:8" ht="12.75">
      <c r="F588" s="22" t="s">
        <v>14</v>
      </c>
      <c r="G588" s="1">
        <v>230</v>
      </c>
      <c r="H588" s="1">
        <v>337</v>
      </c>
    </row>
    <row r="589" spans="6:8" ht="12.75">
      <c r="F589" s="22" t="s">
        <v>15</v>
      </c>
      <c r="G589" s="1">
        <v>240</v>
      </c>
      <c r="H589" s="1">
        <v>360</v>
      </c>
    </row>
    <row r="590" spans="6:8" ht="12.75">
      <c r="F590" s="22" t="s">
        <v>16</v>
      </c>
      <c r="G590" s="1">
        <v>260</v>
      </c>
      <c r="H590" s="1">
        <v>395</v>
      </c>
    </row>
  </sheetData>
  <sheetProtection/>
  <mergeCells count="34">
    <mergeCell ref="F6:M7"/>
    <mergeCell ref="G14:Q14"/>
    <mergeCell ref="F55:P56"/>
    <mergeCell ref="O187:P187"/>
    <mergeCell ref="Q187:R187"/>
    <mergeCell ref="F70:M71"/>
    <mergeCell ref="F578:L579"/>
    <mergeCell ref="F455:M456"/>
    <mergeCell ref="G459:O459"/>
    <mergeCell ref="F505:M506"/>
    <mergeCell ref="G509:O509"/>
    <mergeCell ref="U187:V187"/>
    <mergeCell ref="G187:H187"/>
    <mergeCell ref="I187:J187"/>
    <mergeCell ref="K187:L187"/>
    <mergeCell ref="M187:N187"/>
    <mergeCell ref="F200:P201"/>
    <mergeCell ref="G205:O205"/>
    <mergeCell ref="G370:O370"/>
    <mergeCell ref="F415:M416"/>
    <mergeCell ref="F95:U96"/>
    <mergeCell ref="G102:W102"/>
    <mergeCell ref="F125:U126"/>
    <mergeCell ref="S187:T187"/>
    <mergeCell ref="F555:M556"/>
    <mergeCell ref="F33:L34"/>
    <mergeCell ref="F260:M261"/>
    <mergeCell ref="F315:M316"/>
    <mergeCell ref="G320:O320"/>
    <mergeCell ref="F365:M366"/>
    <mergeCell ref="F150:U151"/>
    <mergeCell ref="F180:O181"/>
    <mergeCell ref="F230:P231"/>
    <mergeCell ref="G235:O235"/>
  </mergeCells>
  <printOptions horizontalCentered="1"/>
  <pageMargins left="0" right="0" top="0" bottom="0" header="0" footer="0"/>
  <pageSetup horizontalDpi="600" verticalDpi="600" orientation="portrait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O299"/>
  <sheetViews>
    <sheetView zoomScalePageLayoutView="0" workbookViewId="0" topLeftCell="A1">
      <pane ySplit="516" topLeftCell="A157" activePane="bottomLeft" state="split"/>
      <selection pane="topLeft" activeCell="H1" sqref="H1:H16384"/>
      <selection pane="bottomLeft" activeCell="E18" sqref="E18"/>
    </sheetView>
  </sheetViews>
  <sheetFormatPr defaultColWidth="9.140625" defaultRowHeight="12.75"/>
  <cols>
    <col min="9" max="9" width="8.7109375" style="0" customWidth="1"/>
    <col min="10" max="10" width="9.00390625" style="0" customWidth="1"/>
    <col min="11" max="11" width="8.57421875" style="0" customWidth="1"/>
    <col min="12" max="12" width="6.57421875" style="0" customWidth="1"/>
    <col min="13" max="13" width="7.421875" style="0" customWidth="1"/>
    <col min="14" max="14" width="8.140625" style="0" customWidth="1"/>
    <col min="15" max="15" width="7.8515625" style="0" customWidth="1"/>
    <col min="16" max="16" width="8.7109375" style="0" bestFit="1" customWidth="1"/>
    <col min="24" max="24" width="12.421875" style="0" customWidth="1"/>
    <col min="25" max="25" width="10.28125" style="0" bestFit="1" customWidth="1"/>
    <col min="26" max="26" width="11.00390625" style="0" customWidth="1"/>
  </cols>
  <sheetData>
    <row r="1" spans="1:41" ht="12.7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</row>
    <row r="5" spans="18:22" ht="12.75">
      <c r="R5" s="189"/>
      <c r="S5" s="189"/>
      <c r="T5" s="189"/>
      <c r="U5" s="189" t="s">
        <v>227</v>
      </c>
      <c r="V5" s="189"/>
    </row>
    <row r="6" spans="2:22" ht="12.75">
      <c r="B6" s="31" t="s">
        <v>36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106"/>
      <c r="O6" s="200"/>
      <c r="P6" s="200"/>
      <c r="Q6" s="200"/>
      <c r="R6" s="189" t="s">
        <v>36</v>
      </c>
      <c r="S6" s="189"/>
      <c r="T6" s="189"/>
      <c r="U6" s="189"/>
      <c r="V6" s="189"/>
    </row>
    <row r="7" spans="2:19" ht="12.75">
      <c r="B7" s="31" t="s">
        <v>217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106"/>
      <c r="O7" s="200"/>
      <c r="P7" s="200"/>
      <c r="Q7" s="200"/>
      <c r="R7" s="189" t="s">
        <v>219</v>
      </c>
      <c r="S7" s="189"/>
    </row>
    <row r="8" spans="3:19" ht="13.5" thickBot="1">
      <c r="C8" s="31"/>
      <c r="D8" s="31"/>
      <c r="E8" s="31"/>
      <c r="F8" s="31"/>
      <c r="G8" s="31"/>
      <c r="H8" s="31"/>
      <c r="I8" s="31"/>
      <c r="J8" s="31" t="s">
        <v>218</v>
      </c>
      <c r="K8" s="31"/>
      <c r="L8" s="31"/>
      <c r="M8" s="31"/>
      <c r="N8" s="106"/>
      <c r="O8" s="106"/>
      <c r="P8" s="106"/>
      <c r="Q8" s="106"/>
      <c r="R8" s="51"/>
      <c r="S8" s="51"/>
    </row>
    <row r="9" spans="3:28" ht="13.5" thickBot="1">
      <c r="C9" s="32" t="s">
        <v>0</v>
      </c>
      <c r="D9" s="33"/>
      <c r="E9" s="32" t="s">
        <v>3</v>
      </c>
      <c r="F9" s="33"/>
      <c r="G9" s="33"/>
      <c r="H9" s="33"/>
      <c r="I9" s="33"/>
      <c r="J9" s="33"/>
      <c r="K9" s="33"/>
      <c r="L9" s="33"/>
      <c r="M9" s="33"/>
      <c r="O9" s="225"/>
      <c r="P9" s="51"/>
      <c r="Q9" s="52"/>
      <c r="R9" s="225" t="s">
        <v>0</v>
      </c>
      <c r="S9" s="225"/>
      <c r="T9" t="s">
        <v>3</v>
      </c>
      <c r="U9" s="1"/>
      <c r="V9" s="1"/>
      <c r="W9" s="1"/>
      <c r="X9" s="1"/>
      <c r="Y9" s="1"/>
      <c r="Z9" s="1"/>
      <c r="AA9" s="1"/>
      <c r="AB9" s="1" t="s">
        <v>21</v>
      </c>
    </row>
    <row r="10" spans="3:28" ht="13.5" thickBot="1">
      <c r="C10" s="35" t="s">
        <v>1</v>
      </c>
      <c r="D10" s="36" t="s">
        <v>2</v>
      </c>
      <c r="E10" s="35" t="s">
        <v>4</v>
      </c>
      <c r="F10" s="36" t="s">
        <v>5</v>
      </c>
      <c r="G10" s="34" t="s">
        <v>6</v>
      </c>
      <c r="H10" s="34" t="s">
        <v>17</v>
      </c>
      <c r="I10" s="36" t="s">
        <v>18</v>
      </c>
      <c r="J10" s="34" t="s">
        <v>19</v>
      </c>
      <c r="K10" s="34" t="s">
        <v>20</v>
      </c>
      <c r="L10" s="197" t="s">
        <v>21</v>
      </c>
      <c r="O10" s="225"/>
      <c r="P10" s="225"/>
      <c r="Q10" s="225"/>
      <c r="R10" s="177" t="s">
        <v>1</v>
      </c>
      <c r="S10" s="227" t="s">
        <v>2</v>
      </c>
      <c r="T10" t="s">
        <v>4</v>
      </c>
      <c r="U10" s="1" t="s">
        <v>220</v>
      </c>
      <c r="V10" s="1" t="s">
        <v>5</v>
      </c>
      <c r="W10" s="1" t="s">
        <v>6</v>
      </c>
      <c r="X10" s="1" t="s">
        <v>17</v>
      </c>
      <c r="Y10" s="1" t="s">
        <v>18</v>
      </c>
      <c r="Z10" s="1" t="s">
        <v>19</v>
      </c>
      <c r="AA10" s="1" t="s">
        <v>20</v>
      </c>
      <c r="AB10" s="1" t="s">
        <v>221</v>
      </c>
    </row>
    <row r="11" spans="3:28" ht="12.75">
      <c r="C11" s="22" t="s">
        <v>9</v>
      </c>
      <c r="D11" s="132">
        <v>1.64</v>
      </c>
      <c r="E11" s="132">
        <v>0.184</v>
      </c>
      <c r="F11" s="1">
        <v>230</v>
      </c>
      <c r="G11" s="192">
        <v>16.4</v>
      </c>
      <c r="H11" s="1">
        <v>20</v>
      </c>
      <c r="I11" s="192">
        <f>J11+G11*1000/(1.085*F11)</f>
        <v>125.71829292726909</v>
      </c>
      <c r="J11" s="1">
        <v>60</v>
      </c>
      <c r="K11" s="1">
        <v>200</v>
      </c>
      <c r="L11" s="22" t="s">
        <v>22</v>
      </c>
      <c r="O11" s="202"/>
      <c r="P11" s="227"/>
      <c r="Q11" s="192"/>
      <c r="R11" s="177">
        <v>2</v>
      </c>
      <c r="S11" s="227">
        <v>1.72</v>
      </c>
      <c r="T11" s="1">
        <v>0.18</v>
      </c>
      <c r="U11" s="1" t="s">
        <v>222</v>
      </c>
      <c r="V11" s="1">
        <v>230</v>
      </c>
      <c r="W11" s="1">
        <v>16.7</v>
      </c>
      <c r="X11" s="1">
        <v>20</v>
      </c>
      <c r="Y11" s="1">
        <v>126.7</v>
      </c>
      <c r="Z11" s="1">
        <v>60</v>
      </c>
      <c r="AA11" s="1">
        <v>200</v>
      </c>
      <c r="AB11" t="s">
        <v>22</v>
      </c>
    </row>
    <row r="12" spans="1:28" ht="12.75">
      <c r="A12" s="228"/>
      <c r="C12" s="22" t="s">
        <v>10</v>
      </c>
      <c r="D12" s="132">
        <v>2.28</v>
      </c>
      <c r="E12" s="132">
        <v>0.36</v>
      </c>
      <c r="F12" s="1">
        <v>335</v>
      </c>
      <c r="G12" s="192">
        <v>22.8</v>
      </c>
      <c r="H12" s="1">
        <v>20</v>
      </c>
      <c r="I12" s="192">
        <f>J12+G12*1000/(1.085*F12)</f>
        <v>122.72783547699292</v>
      </c>
      <c r="J12" s="1">
        <v>60</v>
      </c>
      <c r="K12" s="1">
        <v>200</v>
      </c>
      <c r="L12" s="22" t="s">
        <v>22</v>
      </c>
      <c r="O12" s="202"/>
      <c r="P12" s="227"/>
      <c r="Q12" s="192"/>
      <c r="R12" s="177">
        <v>3</v>
      </c>
      <c r="S12" s="227">
        <v>2.4</v>
      </c>
      <c r="T12" s="1">
        <v>0.36</v>
      </c>
      <c r="U12" s="1" t="s">
        <v>222</v>
      </c>
      <c r="V12" s="1">
        <v>335</v>
      </c>
      <c r="W12" s="1">
        <v>23.3</v>
      </c>
      <c r="X12" s="1">
        <v>20</v>
      </c>
      <c r="Y12" s="1">
        <v>124</v>
      </c>
      <c r="Z12" s="1">
        <v>60</v>
      </c>
      <c r="AA12" s="1">
        <v>200</v>
      </c>
      <c r="AB12" t="s">
        <v>22</v>
      </c>
    </row>
    <row r="13" spans="3:28" ht="12.75">
      <c r="C13" s="22" t="s">
        <v>9</v>
      </c>
      <c r="D13" s="132">
        <v>2.58</v>
      </c>
      <c r="E13" s="132">
        <v>0.53</v>
      </c>
      <c r="F13" s="1">
        <v>225</v>
      </c>
      <c r="G13" s="192">
        <v>25.8</v>
      </c>
      <c r="H13" s="1">
        <v>20</v>
      </c>
      <c r="I13" s="192">
        <f aca="true" t="shared" si="0" ref="I13:I26">J13+G13*1000/(1.085*F13)</f>
        <v>165.68356374807988</v>
      </c>
      <c r="J13" s="1">
        <v>60</v>
      </c>
      <c r="K13" s="1">
        <v>200</v>
      </c>
      <c r="L13" s="22" t="s">
        <v>23</v>
      </c>
      <c r="O13" s="202"/>
      <c r="P13" s="227"/>
      <c r="Q13" s="192"/>
      <c r="R13" s="177">
        <v>2</v>
      </c>
      <c r="S13" s="227">
        <v>2.67</v>
      </c>
      <c r="T13" s="1">
        <v>0.53</v>
      </c>
      <c r="U13" s="1" t="s">
        <v>222</v>
      </c>
      <c r="V13" s="1">
        <v>225</v>
      </c>
      <c r="W13" s="1">
        <v>25.8</v>
      </c>
      <c r="X13" s="1">
        <v>20</v>
      </c>
      <c r="Y13" s="1">
        <v>165.8</v>
      </c>
      <c r="Z13" s="1">
        <v>60</v>
      </c>
      <c r="AA13" s="1">
        <v>200</v>
      </c>
      <c r="AB13" t="s">
        <v>23</v>
      </c>
    </row>
    <row r="14" spans="3:28" ht="12.75">
      <c r="C14" s="22" t="s">
        <v>11</v>
      </c>
      <c r="D14" s="132">
        <v>2.98</v>
      </c>
      <c r="E14" s="132">
        <v>0.58</v>
      </c>
      <c r="F14" s="1">
        <v>430</v>
      </c>
      <c r="G14" s="192">
        <v>29.8</v>
      </c>
      <c r="H14" s="1">
        <v>20</v>
      </c>
      <c r="I14" s="192">
        <f t="shared" si="0"/>
        <v>123.87311113492659</v>
      </c>
      <c r="J14" s="1">
        <v>60</v>
      </c>
      <c r="K14" s="1">
        <v>200</v>
      </c>
      <c r="L14" s="22" t="s">
        <v>22</v>
      </c>
      <c r="O14" s="202"/>
      <c r="P14" s="227"/>
      <c r="Q14" s="192"/>
      <c r="R14" s="177">
        <v>4</v>
      </c>
      <c r="S14" s="227">
        <v>3.08</v>
      </c>
      <c r="T14" s="1">
        <v>0.58</v>
      </c>
      <c r="U14" s="1" t="s">
        <v>222</v>
      </c>
      <c r="V14" s="1">
        <v>430</v>
      </c>
      <c r="W14" s="1">
        <v>29.8</v>
      </c>
      <c r="X14" s="1">
        <v>20</v>
      </c>
      <c r="Y14" s="1">
        <v>123.8</v>
      </c>
      <c r="Z14" s="1">
        <v>60</v>
      </c>
      <c r="AA14" s="1">
        <v>200</v>
      </c>
      <c r="AB14" t="s">
        <v>22</v>
      </c>
    </row>
    <row r="15" spans="3:28" ht="12.75">
      <c r="C15" s="22" t="s">
        <v>10</v>
      </c>
      <c r="D15" s="132">
        <v>3.54</v>
      </c>
      <c r="E15" s="132">
        <v>0.98</v>
      </c>
      <c r="F15" s="1">
        <v>330</v>
      </c>
      <c r="G15" s="192">
        <v>35.383</v>
      </c>
      <c r="H15" s="1">
        <v>20</v>
      </c>
      <c r="I15" s="192">
        <f t="shared" si="0"/>
        <v>158.82139366010335</v>
      </c>
      <c r="J15" s="1">
        <v>60</v>
      </c>
      <c r="K15" s="1">
        <v>200</v>
      </c>
      <c r="L15" s="22" t="s">
        <v>23</v>
      </c>
      <c r="O15" s="202"/>
      <c r="P15" s="227"/>
      <c r="Q15" s="192"/>
      <c r="R15" s="177">
        <v>3</v>
      </c>
      <c r="S15" s="227">
        <v>3.65</v>
      </c>
      <c r="T15" s="1">
        <v>0.98</v>
      </c>
      <c r="U15" s="1" t="s">
        <v>222</v>
      </c>
      <c r="V15" s="1">
        <v>330</v>
      </c>
      <c r="W15" s="1">
        <v>35.4</v>
      </c>
      <c r="X15" s="1">
        <v>20</v>
      </c>
      <c r="Y15" s="1">
        <v>158.8</v>
      </c>
      <c r="Z15" s="1">
        <v>60</v>
      </c>
      <c r="AA15" s="1">
        <v>200</v>
      </c>
      <c r="AB15" t="s">
        <v>23</v>
      </c>
    </row>
    <row r="16" spans="3:28" ht="12.75">
      <c r="C16" s="22" t="s">
        <v>11</v>
      </c>
      <c r="D16" s="132">
        <v>4.63</v>
      </c>
      <c r="E16" s="132">
        <v>1.7</v>
      </c>
      <c r="F16" s="1">
        <v>420</v>
      </c>
      <c r="G16" s="192">
        <v>46.3</v>
      </c>
      <c r="H16" s="1">
        <v>20</v>
      </c>
      <c r="I16" s="192">
        <f t="shared" si="0"/>
        <v>161.60193109501864</v>
      </c>
      <c r="J16" s="1">
        <v>60</v>
      </c>
      <c r="K16" s="1">
        <v>200</v>
      </c>
      <c r="L16" s="22" t="s">
        <v>23</v>
      </c>
      <c r="O16" s="202"/>
      <c r="P16" s="227"/>
      <c r="Q16" s="192"/>
      <c r="R16" s="177">
        <v>4</v>
      </c>
      <c r="S16" s="227">
        <v>4.79</v>
      </c>
      <c r="T16" s="1">
        <v>1.7</v>
      </c>
      <c r="U16" s="1" t="s">
        <v>222</v>
      </c>
      <c r="V16" s="1">
        <v>420</v>
      </c>
      <c r="W16" s="1">
        <v>46.3</v>
      </c>
      <c r="X16" s="1">
        <v>20</v>
      </c>
      <c r="Y16" s="1">
        <v>161.7</v>
      </c>
      <c r="Z16" s="1">
        <v>60</v>
      </c>
      <c r="AA16" s="1">
        <v>200</v>
      </c>
      <c r="AB16" t="s">
        <v>23</v>
      </c>
    </row>
    <row r="17" spans="1:28" ht="12.75">
      <c r="A17" s="228"/>
      <c r="C17" s="22" t="s">
        <v>12</v>
      </c>
      <c r="D17" s="132">
        <v>4.8</v>
      </c>
      <c r="E17" s="132">
        <v>1.54</v>
      </c>
      <c r="F17" s="1">
        <v>630</v>
      </c>
      <c r="G17" s="192">
        <v>48</v>
      </c>
      <c r="H17" s="1">
        <v>20</v>
      </c>
      <c r="I17" s="192">
        <f t="shared" si="0"/>
        <v>130.22163704191354</v>
      </c>
      <c r="J17" s="1">
        <v>60</v>
      </c>
      <c r="K17" s="1">
        <v>200</v>
      </c>
      <c r="L17" s="22" t="s">
        <v>22</v>
      </c>
      <c r="O17" s="202"/>
      <c r="P17" s="227"/>
      <c r="Q17" s="192"/>
      <c r="R17" s="177">
        <v>6</v>
      </c>
      <c r="S17" s="227">
        <v>5.09</v>
      </c>
      <c r="T17" s="1">
        <v>1.54</v>
      </c>
      <c r="U17" s="1" t="s">
        <v>222</v>
      </c>
      <c r="V17" s="1">
        <v>630</v>
      </c>
      <c r="W17" s="1">
        <v>49.3</v>
      </c>
      <c r="X17" s="1">
        <v>20</v>
      </c>
      <c r="Y17" s="1">
        <v>132.1</v>
      </c>
      <c r="Z17" s="1">
        <v>60</v>
      </c>
      <c r="AA17" s="1">
        <v>200</v>
      </c>
      <c r="AB17" t="s">
        <v>22</v>
      </c>
    </row>
    <row r="18" spans="3:28" ht="12.75">
      <c r="C18" s="22" t="s">
        <v>13</v>
      </c>
      <c r="D18" s="132">
        <v>5.45</v>
      </c>
      <c r="E18" s="132">
        <v>2.02</v>
      </c>
      <c r="F18" s="1">
        <v>860</v>
      </c>
      <c r="G18" s="192">
        <v>54.5</v>
      </c>
      <c r="H18" s="1">
        <v>20</v>
      </c>
      <c r="I18" s="192">
        <f t="shared" si="0"/>
        <v>118.40745900760905</v>
      </c>
      <c r="J18" s="1">
        <v>60</v>
      </c>
      <c r="K18" s="1">
        <v>200</v>
      </c>
      <c r="L18" s="22" t="s">
        <v>22</v>
      </c>
      <c r="O18" s="202"/>
      <c r="P18" s="227"/>
      <c r="Q18" s="192"/>
      <c r="R18" s="177">
        <v>8</v>
      </c>
      <c r="S18" s="227">
        <v>5.75</v>
      </c>
      <c r="T18" s="1">
        <v>2.02</v>
      </c>
      <c r="U18" s="1" t="s">
        <v>222</v>
      </c>
      <c r="V18" s="1">
        <v>860</v>
      </c>
      <c r="W18" s="1">
        <v>55.6</v>
      </c>
      <c r="X18" s="1">
        <v>20</v>
      </c>
      <c r="Y18" s="1">
        <v>119.6</v>
      </c>
      <c r="Z18" s="1">
        <v>60</v>
      </c>
      <c r="AA18" s="1">
        <v>200</v>
      </c>
      <c r="AB18" t="s">
        <v>22</v>
      </c>
    </row>
    <row r="19" spans="3:28" ht="12.75">
      <c r="C19" s="22">
        <v>10</v>
      </c>
      <c r="D19" s="132">
        <v>6.2</v>
      </c>
      <c r="E19" s="132">
        <v>2.51</v>
      </c>
      <c r="F19" s="1">
        <v>1060</v>
      </c>
      <c r="G19" s="192">
        <v>62</v>
      </c>
      <c r="H19" s="1">
        <v>20</v>
      </c>
      <c r="I19" s="192">
        <f t="shared" si="0"/>
        <v>113.90835579514825</v>
      </c>
      <c r="J19" s="1">
        <v>60</v>
      </c>
      <c r="K19" s="1">
        <v>200</v>
      </c>
      <c r="L19" s="22" t="s">
        <v>22</v>
      </c>
      <c r="O19" s="202"/>
      <c r="P19" s="227"/>
      <c r="Q19" s="192"/>
      <c r="R19" s="177">
        <v>10</v>
      </c>
      <c r="S19" s="227">
        <v>6.45</v>
      </c>
      <c r="T19" s="1">
        <v>2.51</v>
      </c>
      <c r="U19" s="1" t="s">
        <v>222</v>
      </c>
      <c r="V19" s="1">
        <v>1060</v>
      </c>
      <c r="W19" s="1">
        <v>62.5</v>
      </c>
      <c r="X19" s="1">
        <v>20</v>
      </c>
      <c r="Y19" s="1">
        <v>114.3</v>
      </c>
      <c r="Z19" s="1">
        <v>60</v>
      </c>
      <c r="AA19" s="1">
        <v>200</v>
      </c>
      <c r="AB19" t="s">
        <v>22</v>
      </c>
    </row>
    <row r="20" spans="3:28" ht="12.75">
      <c r="C20" s="22" t="s">
        <v>12</v>
      </c>
      <c r="D20" s="132">
        <v>6.98</v>
      </c>
      <c r="E20" s="80">
        <v>4.1</v>
      </c>
      <c r="F20" s="1">
        <v>620</v>
      </c>
      <c r="G20" s="192">
        <v>69.8</v>
      </c>
      <c r="H20" s="1">
        <v>20</v>
      </c>
      <c r="I20" s="192">
        <f t="shared" si="0"/>
        <v>163.76096328229522</v>
      </c>
      <c r="J20" s="1">
        <v>60</v>
      </c>
      <c r="K20" s="1">
        <v>200</v>
      </c>
      <c r="L20" s="22" t="s">
        <v>23</v>
      </c>
      <c r="O20" s="202"/>
      <c r="P20" s="227"/>
      <c r="Q20" s="192"/>
      <c r="R20" s="177">
        <v>6</v>
      </c>
      <c r="S20" s="227">
        <v>7.21</v>
      </c>
      <c r="T20" s="1">
        <v>4.1</v>
      </c>
      <c r="U20" s="1" t="s">
        <v>222</v>
      </c>
      <c r="V20" s="1">
        <v>620</v>
      </c>
      <c r="W20" s="1">
        <v>69.8</v>
      </c>
      <c r="X20" s="1">
        <v>20</v>
      </c>
      <c r="Y20" s="1">
        <v>163.7</v>
      </c>
      <c r="Z20" s="1">
        <v>60</v>
      </c>
      <c r="AA20" s="1">
        <v>200</v>
      </c>
      <c r="AB20" t="s">
        <v>23</v>
      </c>
    </row>
    <row r="21" spans="3:28" ht="12.75">
      <c r="C21" s="22">
        <v>12</v>
      </c>
      <c r="D21" s="132">
        <v>7.56</v>
      </c>
      <c r="E21" s="132">
        <v>3.77</v>
      </c>
      <c r="F21" s="1">
        <v>1230</v>
      </c>
      <c r="G21" s="192">
        <v>75.6</v>
      </c>
      <c r="H21" s="1">
        <v>20</v>
      </c>
      <c r="I21" s="192">
        <f t="shared" si="0"/>
        <v>116.64830841856806</v>
      </c>
      <c r="J21" s="1">
        <v>60</v>
      </c>
      <c r="K21" s="1">
        <v>200</v>
      </c>
      <c r="L21" s="22" t="s">
        <v>22</v>
      </c>
      <c r="O21" s="202"/>
      <c r="P21" s="227"/>
      <c r="Q21" s="192"/>
      <c r="R21" s="177">
        <v>12</v>
      </c>
      <c r="S21" s="227">
        <v>7.89</v>
      </c>
      <c r="T21" s="1">
        <v>3.77</v>
      </c>
      <c r="U21" s="1" t="s">
        <v>222</v>
      </c>
      <c r="V21" s="1">
        <v>1230</v>
      </c>
      <c r="W21" s="1">
        <v>76.4</v>
      </c>
      <c r="X21" s="1">
        <v>20</v>
      </c>
      <c r="Y21" s="1">
        <v>117.2</v>
      </c>
      <c r="Z21" s="1">
        <v>60</v>
      </c>
      <c r="AA21" s="1">
        <v>200</v>
      </c>
      <c r="AB21" t="s">
        <v>22</v>
      </c>
    </row>
    <row r="22" spans="3:28" ht="12.75">
      <c r="C22" s="22">
        <v>14</v>
      </c>
      <c r="D22" s="132">
        <v>7.85</v>
      </c>
      <c r="E22" s="132">
        <v>4.42</v>
      </c>
      <c r="F22" s="1">
        <v>1410</v>
      </c>
      <c r="G22" s="192">
        <v>78.5</v>
      </c>
      <c r="H22" s="1">
        <v>20</v>
      </c>
      <c r="I22" s="192">
        <f t="shared" si="0"/>
        <v>111.31222015230252</v>
      </c>
      <c r="J22" s="1">
        <v>60</v>
      </c>
      <c r="K22" s="1">
        <v>200</v>
      </c>
      <c r="L22" s="22" t="s">
        <v>22</v>
      </c>
      <c r="O22" s="202"/>
      <c r="P22" s="227"/>
      <c r="Q22" s="192"/>
      <c r="R22" s="177">
        <v>14</v>
      </c>
      <c r="S22" s="227">
        <v>8.22</v>
      </c>
      <c r="T22" s="177">
        <v>4.42</v>
      </c>
      <c r="U22" s="177" t="s">
        <v>222</v>
      </c>
      <c r="V22" s="202" t="s">
        <v>223</v>
      </c>
      <c r="W22" s="1">
        <v>79.6</v>
      </c>
      <c r="X22" s="1">
        <v>20</v>
      </c>
      <c r="Y22" s="1">
        <v>112</v>
      </c>
      <c r="Z22" s="1">
        <v>60</v>
      </c>
      <c r="AA22" s="1">
        <v>200</v>
      </c>
      <c r="AB22" t="s">
        <v>22</v>
      </c>
    </row>
    <row r="23" spans="3:28" ht="12.75">
      <c r="C23" s="22" t="s">
        <v>13</v>
      </c>
      <c r="D23" s="132">
        <v>8.76</v>
      </c>
      <c r="E23" s="132">
        <v>6.62</v>
      </c>
      <c r="F23" s="1">
        <v>845</v>
      </c>
      <c r="G23" s="192">
        <v>87.6</v>
      </c>
      <c r="H23" s="1">
        <v>20</v>
      </c>
      <c r="I23" s="192">
        <f t="shared" si="0"/>
        <v>155.54713276797645</v>
      </c>
      <c r="J23" s="1">
        <v>60</v>
      </c>
      <c r="K23" s="1">
        <v>200</v>
      </c>
      <c r="L23" s="22" t="s">
        <v>23</v>
      </c>
      <c r="O23" s="202"/>
      <c r="P23" s="227"/>
      <c r="Q23" s="192"/>
      <c r="R23" s="177">
        <v>8</v>
      </c>
      <c r="S23" s="227">
        <v>9.04</v>
      </c>
      <c r="T23" s="177">
        <v>6.62</v>
      </c>
      <c r="U23" s="177" t="s">
        <v>222</v>
      </c>
      <c r="V23" s="202" t="s">
        <v>224</v>
      </c>
      <c r="W23" s="1">
        <v>87.6</v>
      </c>
      <c r="X23" s="1">
        <v>20</v>
      </c>
      <c r="Y23" s="1">
        <v>155.2</v>
      </c>
      <c r="Z23" s="1">
        <v>60</v>
      </c>
      <c r="AA23" s="1">
        <v>200</v>
      </c>
      <c r="AB23" t="s">
        <v>23</v>
      </c>
    </row>
    <row r="24" spans="3:28" ht="12.75">
      <c r="C24" s="22">
        <v>10</v>
      </c>
      <c r="D24" s="132">
        <v>10.18</v>
      </c>
      <c r="E24" s="132">
        <v>9.12</v>
      </c>
      <c r="F24" s="1">
        <v>1040</v>
      </c>
      <c r="G24" s="192">
        <v>101.8</v>
      </c>
      <c r="H24" s="1">
        <v>20</v>
      </c>
      <c r="I24" s="192">
        <f t="shared" si="0"/>
        <v>150.21623537752572</v>
      </c>
      <c r="J24" s="1">
        <v>60</v>
      </c>
      <c r="K24" s="1">
        <v>200</v>
      </c>
      <c r="L24" s="22" t="s">
        <v>23</v>
      </c>
      <c r="O24" s="202"/>
      <c r="P24" s="227"/>
      <c r="Q24" s="192"/>
      <c r="R24" s="177">
        <v>10</v>
      </c>
      <c r="S24" s="227">
        <v>10.52</v>
      </c>
      <c r="T24" s="177">
        <v>9.12</v>
      </c>
      <c r="U24" s="177" t="s">
        <v>222</v>
      </c>
      <c r="V24" s="202" t="s">
        <v>225</v>
      </c>
      <c r="W24" s="1">
        <v>101.8</v>
      </c>
      <c r="X24" s="1">
        <v>20</v>
      </c>
      <c r="Y24" s="1">
        <v>150.2</v>
      </c>
      <c r="Z24" s="1">
        <v>60</v>
      </c>
      <c r="AA24" s="1">
        <v>200</v>
      </c>
      <c r="AB24" t="s">
        <v>23</v>
      </c>
    </row>
    <row r="25" spans="3:28" ht="12.75">
      <c r="C25" s="22">
        <v>12</v>
      </c>
      <c r="D25" s="132">
        <v>11.98</v>
      </c>
      <c r="E25" s="132">
        <v>13.21</v>
      </c>
      <c r="F25" s="1">
        <v>1210</v>
      </c>
      <c r="G25" s="192">
        <v>119.8</v>
      </c>
      <c r="H25" s="1">
        <v>20</v>
      </c>
      <c r="I25" s="192">
        <f t="shared" si="0"/>
        <v>151.25185664775108</v>
      </c>
      <c r="J25" s="1">
        <v>60</v>
      </c>
      <c r="K25" s="1">
        <v>200</v>
      </c>
      <c r="L25" s="22" t="s">
        <v>23</v>
      </c>
      <c r="O25" s="202"/>
      <c r="P25" s="227"/>
      <c r="Q25" s="192"/>
      <c r="R25" s="177">
        <v>12</v>
      </c>
      <c r="S25" s="227">
        <v>12.37</v>
      </c>
      <c r="T25" s="177">
        <v>13.21</v>
      </c>
      <c r="U25" s="177" t="s">
        <v>222</v>
      </c>
      <c r="V25" s="202" t="s">
        <v>226</v>
      </c>
      <c r="W25" s="1">
        <v>119.8</v>
      </c>
      <c r="X25" s="1">
        <v>20</v>
      </c>
      <c r="Y25" s="1">
        <v>151.3</v>
      </c>
      <c r="Z25" s="1">
        <v>60</v>
      </c>
      <c r="AA25" s="1">
        <v>200</v>
      </c>
      <c r="AB25" t="s">
        <v>23</v>
      </c>
    </row>
    <row r="26" spans="3:28" ht="12.75">
      <c r="C26" s="22">
        <v>14</v>
      </c>
      <c r="D26" s="132">
        <v>12.86</v>
      </c>
      <c r="E26" s="132">
        <v>16.52</v>
      </c>
      <c r="F26" s="1">
        <v>1385</v>
      </c>
      <c r="G26" s="192">
        <v>128.6</v>
      </c>
      <c r="H26" s="1">
        <v>20</v>
      </c>
      <c r="I26" s="192">
        <f t="shared" si="0"/>
        <v>145.57786687517677</v>
      </c>
      <c r="J26" s="1">
        <v>60</v>
      </c>
      <c r="K26" s="1">
        <v>200</v>
      </c>
      <c r="L26" s="22" t="s">
        <v>23</v>
      </c>
      <c r="O26" s="202"/>
      <c r="P26" s="227"/>
      <c r="Q26" s="192"/>
      <c r="R26" s="1">
        <v>14</v>
      </c>
      <c r="S26" s="1">
        <v>13.28</v>
      </c>
      <c r="T26" s="1">
        <v>16.52</v>
      </c>
      <c r="U26" s="1" t="s">
        <v>222</v>
      </c>
      <c r="V26" s="1">
        <v>1385</v>
      </c>
      <c r="W26" s="1">
        <v>128.6</v>
      </c>
      <c r="X26" s="1">
        <v>20</v>
      </c>
      <c r="Y26" s="1">
        <v>145.6</v>
      </c>
      <c r="Z26" s="1">
        <v>60</v>
      </c>
      <c r="AA26" s="1">
        <v>200</v>
      </c>
      <c r="AB26" t="s">
        <v>23</v>
      </c>
    </row>
    <row r="27" spans="15:17" ht="12.75">
      <c r="O27" s="202"/>
      <c r="P27" s="227"/>
      <c r="Q27" s="192"/>
    </row>
    <row r="28" spans="3:20" ht="12.75">
      <c r="C28" s="22"/>
      <c r="D28" s="132"/>
      <c r="E28" s="132"/>
      <c r="F28" s="1"/>
      <c r="G28" s="1"/>
      <c r="H28" s="192"/>
      <c r="I28" s="1"/>
      <c r="J28" s="192"/>
      <c r="K28" s="1"/>
      <c r="L28" s="1"/>
      <c r="M28" s="22"/>
      <c r="O28" s="202"/>
      <c r="P28" s="227"/>
      <c r="Q28" s="192"/>
      <c r="R28" s="177"/>
      <c r="S28" s="257"/>
      <c r="T28" s="192"/>
    </row>
    <row r="29" spans="15:30" ht="12.75">
      <c r="O29" s="202"/>
      <c r="P29" s="227"/>
      <c r="Q29" s="192"/>
      <c r="R29" s="177"/>
      <c r="S29" s="257"/>
      <c r="T29" s="192"/>
      <c r="U29" s="177"/>
      <c r="V29" s="227"/>
      <c r="W29" s="1"/>
      <c r="X29" s="1"/>
      <c r="Y29" s="1"/>
      <c r="Z29" s="1"/>
      <c r="AA29" s="1"/>
      <c r="AB29" s="1"/>
      <c r="AC29" s="1"/>
      <c r="AD29" s="1"/>
    </row>
    <row r="30" spans="3:20" ht="12.75">
      <c r="C30" s="22"/>
      <c r="D30" s="132"/>
      <c r="E30" s="132"/>
      <c r="F30" s="1"/>
      <c r="G30" s="1"/>
      <c r="H30" s="192"/>
      <c r="I30" s="1"/>
      <c r="J30" s="192"/>
      <c r="K30" s="1"/>
      <c r="L30" s="1"/>
      <c r="M30" s="22"/>
      <c r="O30" s="202"/>
      <c r="P30" s="227"/>
      <c r="Q30" s="192"/>
      <c r="R30" s="177"/>
      <c r="S30" s="257"/>
      <c r="T30" s="192"/>
    </row>
    <row r="31" spans="15:30" ht="12.75">
      <c r="O31" s="202"/>
      <c r="P31" s="227"/>
      <c r="Q31" s="192"/>
      <c r="R31" s="177"/>
      <c r="S31" s="257"/>
      <c r="T31" s="192"/>
      <c r="U31" s="177"/>
      <c r="V31" s="227"/>
      <c r="W31" s="1"/>
      <c r="X31" s="1"/>
      <c r="Y31" s="1"/>
      <c r="Z31" s="1"/>
      <c r="AA31" s="1"/>
      <c r="AB31" s="1"/>
      <c r="AC31" s="1"/>
      <c r="AD31" s="1"/>
    </row>
    <row r="32" spans="3:20" ht="12.75">
      <c r="C32" s="22"/>
      <c r="D32" s="132"/>
      <c r="E32" s="132"/>
      <c r="F32" s="1"/>
      <c r="G32" s="1"/>
      <c r="H32" s="192"/>
      <c r="I32" s="1"/>
      <c r="J32" s="192"/>
      <c r="K32" s="1"/>
      <c r="L32" s="1"/>
      <c r="M32" s="22"/>
      <c r="O32" s="202"/>
      <c r="P32" s="227"/>
      <c r="Q32" s="192"/>
      <c r="R32" s="177"/>
      <c r="S32" s="257"/>
      <c r="T32" s="192"/>
    </row>
    <row r="33" spans="3:30" ht="12.75">
      <c r="C33" s="22"/>
      <c r="D33" s="132"/>
      <c r="E33" s="132"/>
      <c r="F33" s="1"/>
      <c r="G33" s="1"/>
      <c r="H33" s="192"/>
      <c r="I33" s="1"/>
      <c r="J33" s="192"/>
      <c r="K33" s="1"/>
      <c r="L33" s="1"/>
      <c r="M33" s="22"/>
      <c r="O33" s="202"/>
      <c r="P33" s="227"/>
      <c r="Q33" s="192"/>
      <c r="R33" s="177"/>
      <c r="S33" s="257"/>
      <c r="T33" s="192"/>
      <c r="U33" s="177"/>
      <c r="V33" s="227"/>
      <c r="W33" s="1"/>
      <c r="X33" s="1"/>
      <c r="Y33" s="1"/>
      <c r="Z33" s="1"/>
      <c r="AA33" s="1"/>
      <c r="AB33" s="1"/>
      <c r="AC33" s="1"/>
      <c r="AD33" s="1"/>
    </row>
    <row r="34" spans="15:30" ht="12.75">
      <c r="O34" s="202"/>
      <c r="P34" s="227"/>
      <c r="Q34" s="192"/>
      <c r="R34" s="177"/>
      <c r="S34" s="257"/>
      <c r="T34" s="192"/>
      <c r="U34" s="177"/>
      <c r="V34" s="227"/>
      <c r="W34" s="1"/>
      <c r="X34" s="1"/>
      <c r="Y34" s="1"/>
      <c r="Z34" s="1"/>
      <c r="AA34" s="1"/>
      <c r="AB34" s="1"/>
      <c r="AC34" s="1"/>
      <c r="AD34" s="1"/>
    </row>
    <row r="35" spans="15:20" ht="12.75">
      <c r="O35" s="202"/>
      <c r="P35" s="227"/>
      <c r="Q35" s="192"/>
      <c r="R35" s="177"/>
      <c r="S35" s="257"/>
      <c r="T35" s="192"/>
    </row>
    <row r="36" spans="3:20" ht="12.75">
      <c r="C36" s="22"/>
      <c r="D36" s="132"/>
      <c r="E36" s="132"/>
      <c r="F36" s="1"/>
      <c r="G36" s="1"/>
      <c r="H36" s="192"/>
      <c r="I36" s="1"/>
      <c r="J36" s="192"/>
      <c r="K36" s="1"/>
      <c r="L36" s="1"/>
      <c r="M36" s="22"/>
      <c r="O36" s="202"/>
      <c r="P36" s="227"/>
      <c r="Q36" s="192"/>
      <c r="R36" s="177"/>
      <c r="S36" s="257"/>
      <c r="T36" s="192"/>
    </row>
    <row r="37" spans="15:30" ht="12.75">
      <c r="O37" s="202"/>
      <c r="P37" s="227"/>
      <c r="Q37" s="192"/>
      <c r="R37" s="177"/>
      <c r="S37" s="257"/>
      <c r="T37" s="192"/>
      <c r="U37" s="177"/>
      <c r="V37" s="227"/>
      <c r="W37" s="177"/>
      <c r="X37" s="177"/>
      <c r="Y37" s="202"/>
      <c r="Z37" s="1"/>
      <c r="AA37" s="1"/>
      <c r="AB37" s="1"/>
      <c r="AC37" s="1"/>
      <c r="AD37" s="1"/>
    </row>
    <row r="38" spans="15:20" ht="12.75">
      <c r="O38" s="202"/>
      <c r="P38" s="227"/>
      <c r="Q38" s="192"/>
      <c r="R38" s="177"/>
      <c r="S38" s="257"/>
      <c r="T38" s="192"/>
    </row>
    <row r="39" spans="3:20" ht="12.75">
      <c r="C39" s="22"/>
      <c r="D39" s="132"/>
      <c r="E39" s="132"/>
      <c r="F39" s="1"/>
      <c r="G39" s="1"/>
      <c r="H39" s="192"/>
      <c r="I39" s="1"/>
      <c r="J39" s="192"/>
      <c r="K39" s="1"/>
      <c r="L39" s="1"/>
      <c r="M39" s="22"/>
      <c r="O39" s="202"/>
      <c r="P39" s="227"/>
      <c r="Q39" s="192"/>
      <c r="R39" s="177"/>
      <c r="S39" s="257"/>
      <c r="T39" s="192"/>
    </row>
    <row r="40" spans="3:30" ht="12.75">
      <c r="C40" s="22"/>
      <c r="D40" s="132"/>
      <c r="E40" s="132"/>
      <c r="F40" s="1"/>
      <c r="G40" s="1"/>
      <c r="H40" s="192"/>
      <c r="I40" s="1"/>
      <c r="J40" s="192"/>
      <c r="K40" s="1"/>
      <c r="L40" s="1"/>
      <c r="M40" s="22"/>
      <c r="O40" s="202"/>
      <c r="P40" s="227"/>
      <c r="Q40" s="192"/>
      <c r="R40" s="177"/>
      <c r="S40" s="257"/>
      <c r="T40" s="192"/>
      <c r="U40" s="177"/>
      <c r="V40" s="227"/>
      <c r="W40" s="177"/>
      <c r="X40" s="177"/>
      <c r="Y40" s="202"/>
      <c r="Z40" s="1"/>
      <c r="AA40" s="1"/>
      <c r="AB40" s="1"/>
      <c r="AC40" s="1"/>
      <c r="AD40" s="1"/>
    </row>
    <row r="41" spans="15:30" ht="12.75">
      <c r="O41" s="202"/>
      <c r="P41" s="227"/>
      <c r="Q41" s="192"/>
      <c r="R41" s="177"/>
      <c r="S41" s="257"/>
      <c r="T41" s="192"/>
      <c r="U41" s="177"/>
      <c r="V41" s="227"/>
      <c r="W41" s="177"/>
      <c r="X41" s="177"/>
      <c r="Y41" s="202"/>
      <c r="Z41" s="1"/>
      <c r="AA41" s="1"/>
      <c r="AB41" s="1"/>
      <c r="AC41" s="1"/>
      <c r="AD41" s="1"/>
    </row>
    <row r="42" spans="15:20" ht="12.75">
      <c r="O42" s="202"/>
      <c r="P42" s="227"/>
      <c r="Q42" s="192"/>
      <c r="R42" s="177"/>
      <c r="S42" s="257"/>
      <c r="T42" s="192"/>
    </row>
    <row r="51" spans="22:26" ht="12.75">
      <c r="V51" s="2"/>
      <c r="W51" s="2"/>
      <c r="X51" s="2"/>
      <c r="Y51" s="2"/>
      <c r="Z51" s="2"/>
    </row>
    <row r="52" spans="22:26" ht="12.75">
      <c r="V52" s="9"/>
      <c r="W52" s="9"/>
      <c r="X52" s="9"/>
      <c r="Y52" s="9"/>
      <c r="Z52" s="2"/>
    </row>
    <row r="53" spans="22:26" ht="12.75">
      <c r="V53" s="177"/>
      <c r="W53" s="177"/>
      <c r="X53" s="177"/>
      <c r="Y53" s="177"/>
      <c r="Z53" s="2"/>
    </row>
    <row r="54" spans="22:26" ht="12.75">
      <c r="V54" s="225"/>
      <c r="W54" s="225"/>
      <c r="X54" s="106"/>
      <c r="Y54" s="9"/>
      <c r="Z54" s="2"/>
    </row>
    <row r="55" spans="3:26" ht="12.75">
      <c r="C55" s="31" t="s">
        <v>37</v>
      </c>
      <c r="O55" s="1"/>
      <c r="V55" s="202"/>
      <c r="W55" s="227"/>
      <c r="X55" s="227"/>
      <c r="Y55" s="9"/>
      <c r="Z55" s="2"/>
    </row>
    <row r="56" spans="15:26" ht="12.75">
      <c r="O56" s="1"/>
      <c r="V56" s="202"/>
      <c r="W56" s="227"/>
      <c r="X56" s="227"/>
      <c r="Y56" s="9"/>
      <c r="Z56" s="2"/>
    </row>
    <row r="57" spans="3:26" ht="12.75">
      <c r="C57" t="s">
        <v>212</v>
      </c>
      <c r="D57" s="31"/>
      <c r="E57" s="31"/>
      <c r="F57" s="31"/>
      <c r="G57" s="31"/>
      <c r="H57" s="31"/>
      <c r="I57" s="31"/>
      <c r="J57" s="31"/>
      <c r="K57" s="31"/>
      <c r="L57" s="106"/>
      <c r="M57" s="106"/>
      <c r="N57" s="106"/>
      <c r="O57" s="200"/>
      <c r="V57" s="202"/>
      <c r="W57" s="227"/>
      <c r="X57" s="227"/>
      <c r="Y57" s="9"/>
      <c r="Z57" s="2"/>
    </row>
    <row r="58" spans="3:26" ht="12.75">
      <c r="C58" s="31"/>
      <c r="D58" s="31"/>
      <c r="E58" s="31"/>
      <c r="F58" s="31"/>
      <c r="G58" s="31"/>
      <c r="H58" s="31"/>
      <c r="I58" s="31"/>
      <c r="J58" s="31"/>
      <c r="K58" s="31"/>
      <c r="L58" s="231"/>
      <c r="M58" s="232"/>
      <c r="N58" s="106"/>
      <c r="O58" s="200"/>
      <c r="V58" s="202"/>
      <c r="W58" s="227"/>
      <c r="X58" s="227"/>
      <c r="Y58" s="9"/>
      <c r="Z58" s="2"/>
    </row>
    <row r="59" spans="3:26" ht="13.5" thickBot="1">
      <c r="C59" s="31"/>
      <c r="D59" s="31"/>
      <c r="E59" s="31"/>
      <c r="F59" s="31"/>
      <c r="G59" s="31"/>
      <c r="H59" s="31"/>
      <c r="I59" s="31"/>
      <c r="J59" s="31"/>
      <c r="K59" s="31"/>
      <c r="L59" s="106"/>
      <c r="M59" s="106"/>
      <c r="N59" s="106"/>
      <c r="O59" s="106"/>
      <c r="V59" s="202"/>
      <c r="W59" s="227"/>
      <c r="X59" s="227"/>
      <c r="Y59" s="9"/>
      <c r="Z59" s="2"/>
    </row>
    <row r="60" spans="3:26" ht="13.5" thickBot="1">
      <c r="C60" s="32" t="s">
        <v>0</v>
      </c>
      <c r="D60" s="33"/>
      <c r="E60" s="32" t="s">
        <v>27</v>
      </c>
      <c r="G60" s="33"/>
      <c r="H60" s="34" t="s">
        <v>6</v>
      </c>
      <c r="I60" s="33"/>
      <c r="J60" s="33"/>
      <c r="K60" s="33"/>
      <c r="L60" s="225"/>
      <c r="M60" s="233" t="s">
        <v>204</v>
      </c>
      <c r="N60" s="234"/>
      <c r="O60" s="234"/>
      <c r="P60" s="235"/>
      <c r="Q60" s="235"/>
      <c r="R60" s="235"/>
      <c r="S60" s="235"/>
      <c r="T60" s="236"/>
      <c r="V60" s="202"/>
      <c r="W60" s="227"/>
      <c r="X60" s="227"/>
      <c r="Y60" s="9"/>
      <c r="Z60" s="2"/>
    </row>
    <row r="61" spans="3:26" ht="13.5" thickBot="1">
      <c r="C61" s="35" t="s">
        <v>1</v>
      </c>
      <c r="D61" s="36" t="s">
        <v>26</v>
      </c>
      <c r="E61" s="35" t="s">
        <v>28</v>
      </c>
      <c r="F61" s="36" t="s">
        <v>33</v>
      </c>
      <c r="G61" s="36" t="s">
        <v>5</v>
      </c>
      <c r="H61" s="34" t="s">
        <v>29</v>
      </c>
      <c r="I61" s="36" t="s">
        <v>18</v>
      </c>
      <c r="J61" s="34" t="s">
        <v>19</v>
      </c>
      <c r="K61" s="225"/>
      <c r="L61" s="189"/>
      <c r="M61" s="237" t="s">
        <v>208</v>
      </c>
      <c r="N61" s="225"/>
      <c r="O61" s="225"/>
      <c r="P61" s="2"/>
      <c r="Q61" s="9"/>
      <c r="R61" s="2"/>
      <c r="S61" s="171"/>
      <c r="T61" s="238"/>
      <c r="U61" s="7"/>
      <c r="V61" s="202"/>
      <c r="W61" s="227"/>
      <c r="X61" s="227"/>
      <c r="Y61" s="9"/>
      <c r="Z61" s="2"/>
    </row>
    <row r="62" spans="3:26" ht="12.75">
      <c r="C62" s="1" t="s">
        <v>9</v>
      </c>
      <c r="D62" s="107">
        <f aca="true" t="shared" si="1" ref="D62:D69">H62*1000/240</f>
        <v>94.21424999999999</v>
      </c>
      <c r="E62" s="72">
        <v>23.4</v>
      </c>
      <c r="F62" s="1">
        <v>2</v>
      </c>
      <c r="G62" s="1">
        <v>230</v>
      </c>
      <c r="H62" s="72">
        <f aca="true" t="shared" si="2" ref="H62:H69">E62*966.3/1000</f>
        <v>22.61142</v>
      </c>
      <c r="I62" s="72">
        <f aca="true" t="shared" si="3" ref="I62:I69">(H62*1000/(1.085*G62))+J62</f>
        <v>150.60877579643358</v>
      </c>
      <c r="J62" s="1">
        <v>60</v>
      </c>
      <c r="K62" s="1"/>
      <c r="M62" s="239" t="s">
        <v>205</v>
      </c>
      <c r="N62" s="112"/>
      <c r="O62" s="112"/>
      <c r="P62" s="240"/>
      <c r="Q62" s="241"/>
      <c r="R62" s="240"/>
      <c r="S62" s="242"/>
      <c r="T62" s="243"/>
      <c r="U62" s="230"/>
      <c r="V62" s="202"/>
      <c r="W62" s="227"/>
      <c r="X62" s="227"/>
      <c r="Y62" s="9"/>
      <c r="Z62" s="2"/>
    </row>
    <row r="63" spans="3:26" ht="12.75">
      <c r="C63" s="1" t="s">
        <v>10</v>
      </c>
      <c r="D63" s="107">
        <f t="shared" si="1"/>
        <v>130.853125</v>
      </c>
      <c r="E63" s="72">
        <v>32.5</v>
      </c>
      <c r="F63" s="1">
        <v>2</v>
      </c>
      <c r="G63" s="1">
        <v>335</v>
      </c>
      <c r="H63" s="72">
        <f t="shared" si="2"/>
        <v>31.40475</v>
      </c>
      <c r="I63" s="72">
        <f t="shared" si="3"/>
        <v>146.40140312263566</v>
      </c>
      <c r="J63" s="1">
        <v>60</v>
      </c>
      <c r="K63" s="1"/>
      <c r="N63" s="1"/>
      <c r="O63" s="1"/>
      <c r="Q63" s="54"/>
      <c r="S63" s="229"/>
      <c r="T63" s="229"/>
      <c r="U63" s="230"/>
      <c r="V63" s="177"/>
      <c r="W63" s="177"/>
      <c r="X63" s="258"/>
      <c r="Y63" s="2"/>
      <c r="Z63" s="2"/>
    </row>
    <row r="64" spans="3:26" ht="12.75">
      <c r="C64" s="1" t="s">
        <v>11</v>
      </c>
      <c r="D64" s="107">
        <f t="shared" si="1"/>
        <v>170.713</v>
      </c>
      <c r="E64" s="72">
        <v>42.4</v>
      </c>
      <c r="F64" s="1">
        <v>2</v>
      </c>
      <c r="G64" s="1">
        <v>430</v>
      </c>
      <c r="H64" s="72">
        <f t="shared" si="2"/>
        <v>40.97111999999999</v>
      </c>
      <c r="I64" s="72">
        <f t="shared" si="3"/>
        <v>147.81721144571856</v>
      </c>
      <c r="J64" s="1">
        <v>60</v>
      </c>
      <c r="K64" s="1"/>
      <c r="M64" t="s">
        <v>206</v>
      </c>
      <c r="N64" s="1"/>
      <c r="O64" s="1"/>
      <c r="Q64" s="54"/>
      <c r="S64" s="229"/>
      <c r="T64" s="229"/>
      <c r="U64" s="230"/>
      <c r="V64" s="177"/>
      <c r="W64" s="177"/>
      <c r="X64" s="202"/>
      <c r="Y64" s="2"/>
      <c r="Z64" s="2"/>
    </row>
    <row r="65" spans="3:26" ht="12.75">
      <c r="C65" s="1" t="s">
        <v>12</v>
      </c>
      <c r="D65" s="107">
        <f t="shared" si="1"/>
        <v>275.39549999999997</v>
      </c>
      <c r="E65" s="72">
        <v>68.4</v>
      </c>
      <c r="F65" s="1">
        <v>2</v>
      </c>
      <c r="G65" s="1">
        <v>630</v>
      </c>
      <c r="H65" s="72">
        <f t="shared" si="2"/>
        <v>66.09492</v>
      </c>
      <c r="I65" s="72">
        <f t="shared" si="3"/>
        <v>156.6936142198815</v>
      </c>
      <c r="J65" s="1">
        <v>60</v>
      </c>
      <c r="K65" s="1"/>
      <c r="N65" s="1"/>
      <c r="O65" s="1"/>
      <c r="Q65" s="54"/>
      <c r="S65" s="229"/>
      <c r="T65" s="229"/>
      <c r="U65" s="230"/>
      <c r="V65" s="177"/>
      <c r="W65" s="177"/>
      <c r="X65" s="202"/>
      <c r="Y65" s="2"/>
      <c r="Z65" s="2"/>
    </row>
    <row r="66" spans="3:26" ht="12.75">
      <c r="C66" s="1" t="s">
        <v>13</v>
      </c>
      <c r="D66" s="107">
        <f t="shared" si="1"/>
        <v>312.83962499999996</v>
      </c>
      <c r="E66" s="72">
        <v>77.7</v>
      </c>
      <c r="F66" s="1">
        <v>2</v>
      </c>
      <c r="G66" s="1">
        <v>860</v>
      </c>
      <c r="H66" s="72">
        <f t="shared" si="2"/>
        <v>75.08151</v>
      </c>
      <c r="I66" s="72">
        <f t="shared" si="3"/>
        <v>140.46459114778693</v>
      </c>
      <c r="J66" s="1">
        <v>60</v>
      </c>
      <c r="K66" s="1"/>
      <c r="M66" t="s">
        <v>207</v>
      </c>
      <c r="N66" s="1"/>
      <c r="O66" s="1"/>
      <c r="Q66" s="54"/>
      <c r="S66" s="229"/>
      <c r="T66" s="229"/>
      <c r="U66" s="230"/>
      <c r="V66" s="177"/>
      <c r="W66" s="177"/>
      <c r="X66" s="202"/>
      <c r="Y66" s="2"/>
      <c r="Z66" s="2"/>
    </row>
    <row r="67" spans="3:26" ht="12.75">
      <c r="C67" s="1" t="s">
        <v>14</v>
      </c>
      <c r="D67" s="107">
        <f t="shared" si="1"/>
        <v>355.9205</v>
      </c>
      <c r="E67" s="72">
        <v>88.4</v>
      </c>
      <c r="F67" s="1">
        <v>2</v>
      </c>
      <c r="G67" s="1">
        <v>1060</v>
      </c>
      <c r="H67" s="72">
        <f t="shared" si="2"/>
        <v>85.42092</v>
      </c>
      <c r="I67" s="72">
        <f t="shared" si="3"/>
        <v>134.27260238240154</v>
      </c>
      <c r="J67" s="1">
        <v>60</v>
      </c>
      <c r="K67" s="1"/>
      <c r="N67" s="1"/>
      <c r="O67" s="1"/>
      <c r="Q67" s="54"/>
      <c r="S67" s="229"/>
      <c r="T67" s="229"/>
      <c r="U67" s="230"/>
      <c r="V67" s="189"/>
      <c r="W67" s="189"/>
      <c r="X67" s="202"/>
      <c r="Y67" s="2"/>
      <c r="Z67" s="2"/>
    </row>
    <row r="68" spans="3:26" ht="12.75">
      <c r="C68" s="1" t="s">
        <v>15</v>
      </c>
      <c r="D68" s="107">
        <f t="shared" si="1"/>
        <v>433.627125</v>
      </c>
      <c r="E68" s="72">
        <v>107.7</v>
      </c>
      <c r="F68" s="1">
        <v>2</v>
      </c>
      <c r="G68" s="1">
        <v>1230</v>
      </c>
      <c r="H68" s="72">
        <f t="shared" si="2"/>
        <v>104.07051</v>
      </c>
      <c r="I68" s="72">
        <f t="shared" si="3"/>
        <v>137.98172417668877</v>
      </c>
      <c r="J68" s="1">
        <v>60</v>
      </c>
      <c r="K68" s="1"/>
      <c r="N68" s="1"/>
      <c r="O68" s="1"/>
      <c r="Q68" s="54"/>
      <c r="S68" s="229"/>
      <c r="T68" s="229"/>
      <c r="U68" s="230"/>
      <c r="V68" s="225"/>
      <c r="W68" s="177"/>
      <c r="X68" s="202"/>
      <c r="Y68" s="2"/>
      <c r="Z68" s="2"/>
    </row>
    <row r="69" spans="3:26" ht="12.75">
      <c r="C69" s="1" t="s">
        <v>16</v>
      </c>
      <c r="D69" s="107">
        <f t="shared" si="1"/>
        <v>450.93999999999994</v>
      </c>
      <c r="E69" s="72">
        <v>112</v>
      </c>
      <c r="F69" s="1">
        <v>2</v>
      </c>
      <c r="G69" s="1">
        <v>1410</v>
      </c>
      <c r="H69" s="72">
        <f t="shared" si="2"/>
        <v>108.22559999999999</v>
      </c>
      <c r="I69" s="72">
        <f t="shared" si="3"/>
        <v>130.74262182566918</v>
      </c>
      <c r="J69" s="1">
        <v>60</v>
      </c>
      <c r="K69" s="1"/>
      <c r="N69" s="1"/>
      <c r="O69" s="1"/>
      <c r="Q69" s="54"/>
      <c r="S69" s="229"/>
      <c r="T69" s="229"/>
      <c r="U69" s="230"/>
      <c r="V69" s="202"/>
      <c r="W69" s="227"/>
      <c r="X69" s="227"/>
      <c r="Y69" s="192"/>
      <c r="Z69" s="2"/>
    </row>
    <row r="70" spans="11:26" ht="12.75">
      <c r="K70" s="1"/>
      <c r="N70" s="1"/>
      <c r="O70" s="1"/>
      <c r="Q70" s="54"/>
      <c r="S70" s="229"/>
      <c r="T70" s="229"/>
      <c r="U70" s="230"/>
      <c r="V70" s="202"/>
      <c r="W70" s="227"/>
      <c r="X70" s="227"/>
      <c r="Y70" s="192"/>
      <c r="Z70" s="2"/>
    </row>
    <row r="71" spans="3:26" ht="12.75">
      <c r="C71" s="1"/>
      <c r="D71" s="107"/>
      <c r="E71" s="72"/>
      <c r="F71" s="1"/>
      <c r="G71" s="1"/>
      <c r="H71" s="72"/>
      <c r="I71" s="72"/>
      <c r="J71" s="1"/>
      <c r="K71" s="1"/>
      <c r="N71" s="1"/>
      <c r="O71" s="1"/>
      <c r="Q71" s="54"/>
      <c r="S71" s="229"/>
      <c r="T71" s="229"/>
      <c r="U71" s="230"/>
      <c r="V71" s="202"/>
      <c r="W71" s="227"/>
      <c r="X71" s="227"/>
      <c r="Y71" s="192"/>
      <c r="Z71" s="2"/>
    </row>
    <row r="72" spans="11:26" ht="12.75">
      <c r="K72" s="1"/>
      <c r="N72" s="1"/>
      <c r="O72" s="1"/>
      <c r="Q72" s="54"/>
      <c r="S72" s="229"/>
      <c r="T72" s="229"/>
      <c r="U72" s="230"/>
      <c r="V72" s="202"/>
      <c r="W72" s="227"/>
      <c r="X72" s="227"/>
      <c r="Y72" s="192"/>
      <c r="Z72" s="2"/>
    </row>
    <row r="73" spans="11:26" ht="12.75">
      <c r="K73" s="1"/>
      <c r="N73" s="1"/>
      <c r="O73" s="1"/>
      <c r="Q73" s="54"/>
      <c r="S73" s="229"/>
      <c r="T73" s="229"/>
      <c r="U73" s="230"/>
      <c r="V73" s="202"/>
      <c r="W73" s="227"/>
      <c r="X73" s="227"/>
      <c r="Y73" s="192"/>
      <c r="Z73" s="2"/>
    </row>
    <row r="74" spans="3:26" ht="12.75">
      <c r="C74" s="1"/>
      <c r="D74" s="107"/>
      <c r="E74" s="72"/>
      <c r="F74" s="1"/>
      <c r="G74" s="1"/>
      <c r="H74" s="72"/>
      <c r="I74" s="72"/>
      <c r="J74" s="1"/>
      <c r="K74" s="1"/>
      <c r="N74" s="1"/>
      <c r="O74" s="1"/>
      <c r="Q74" s="54"/>
      <c r="S74" s="229"/>
      <c r="T74" s="229"/>
      <c r="U74" s="230"/>
      <c r="V74" s="202"/>
      <c r="W74" s="227"/>
      <c r="X74" s="227"/>
      <c r="Y74" s="192"/>
      <c r="Z74" s="2"/>
    </row>
    <row r="75" spans="3:26" ht="12.75">
      <c r="C75" s="1"/>
      <c r="D75" s="107"/>
      <c r="E75" s="72"/>
      <c r="F75" s="1"/>
      <c r="G75" s="1"/>
      <c r="H75" s="72"/>
      <c r="I75" s="72"/>
      <c r="J75" s="1"/>
      <c r="K75" s="1"/>
      <c r="N75" s="1"/>
      <c r="O75" s="1"/>
      <c r="Q75" s="54"/>
      <c r="S75" s="229"/>
      <c r="T75" s="229"/>
      <c r="U75" s="230"/>
      <c r="V75" s="202"/>
      <c r="W75" s="227"/>
      <c r="X75" s="227"/>
      <c r="Y75" s="192"/>
      <c r="Z75" s="2"/>
    </row>
    <row r="76" spans="11:26" ht="12.75">
      <c r="K76" s="1"/>
      <c r="N76" s="1"/>
      <c r="O76" s="1"/>
      <c r="Q76" s="54"/>
      <c r="S76" s="229"/>
      <c r="T76" s="229"/>
      <c r="U76" s="230"/>
      <c r="V76" s="202"/>
      <c r="W76" s="227"/>
      <c r="X76" s="227"/>
      <c r="Y76" s="192"/>
      <c r="Z76" s="2"/>
    </row>
    <row r="77" spans="11:26" ht="12.75">
      <c r="K77" s="1"/>
      <c r="N77" s="1"/>
      <c r="O77" s="1"/>
      <c r="Q77" s="54"/>
      <c r="S77" s="229"/>
      <c r="T77" s="229"/>
      <c r="U77" s="230"/>
      <c r="V77" s="177"/>
      <c r="W77" s="177"/>
      <c r="X77" s="202"/>
      <c r="Y77" s="2"/>
      <c r="Z77" s="2"/>
    </row>
    <row r="78" spans="22:26" ht="12.75">
      <c r="V78" s="187"/>
      <c r="W78" s="177"/>
      <c r="X78" s="2"/>
      <c r="Y78" s="2"/>
      <c r="Z78" s="2"/>
    </row>
    <row r="79" spans="22:26" ht="12.75">
      <c r="V79" s="187"/>
      <c r="W79" s="177"/>
      <c r="X79" s="2"/>
      <c r="Y79" s="2"/>
      <c r="Z79" s="2"/>
    </row>
    <row r="84" ht="13.5" thickBot="1"/>
    <row r="85" spans="3:15" ht="15">
      <c r="C85" s="244"/>
      <c r="D85" s="2"/>
      <c r="E85" s="155" t="s">
        <v>156</v>
      </c>
      <c r="F85" s="156"/>
      <c r="G85" s="156"/>
      <c r="H85" s="156"/>
      <c r="I85" s="156"/>
      <c r="J85" s="156"/>
      <c r="K85" s="156"/>
      <c r="L85" s="156"/>
      <c r="M85" s="156"/>
      <c r="N85" s="156"/>
      <c r="O85" s="157"/>
    </row>
    <row r="86" spans="1:15" ht="15.75" thickBot="1">
      <c r="A86" t="s">
        <v>210</v>
      </c>
      <c r="C86" s="244"/>
      <c r="D86" s="2"/>
      <c r="E86" s="158" t="s">
        <v>157</v>
      </c>
      <c r="F86" s="56"/>
      <c r="G86" s="56"/>
      <c r="H86" s="56"/>
      <c r="I86" s="56"/>
      <c r="J86" s="56"/>
      <c r="K86" s="56"/>
      <c r="L86" s="56"/>
      <c r="M86" s="56"/>
      <c r="N86" s="56"/>
      <c r="O86" s="159"/>
    </row>
    <row r="87" spans="1:15" ht="12.75">
      <c r="A87" t="s">
        <v>211</v>
      </c>
      <c r="C87" s="161"/>
      <c r="D87" s="161"/>
      <c r="E87" s="160" t="s">
        <v>158</v>
      </c>
      <c r="F87" s="161"/>
      <c r="G87" s="161"/>
      <c r="H87" s="161"/>
      <c r="I87" s="161"/>
      <c r="J87" s="161"/>
      <c r="K87" s="161"/>
      <c r="L87" s="161"/>
      <c r="M87" s="161"/>
      <c r="N87" s="161"/>
      <c r="O87" s="162" t="s">
        <v>159</v>
      </c>
    </row>
    <row r="88" spans="3:15" ht="13.5" thickBot="1">
      <c r="C88" s="161"/>
      <c r="D88" s="161"/>
      <c r="E88" s="163"/>
      <c r="F88" s="164"/>
      <c r="G88" s="164"/>
      <c r="H88" s="164"/>
      <c r="I88" s="164"/>
      <c r="J88" s="164"/>
      <c r="K88" s="164"/>
      <c r="L88" s="164"/>
      <c r="M88" s="164"/>
      <c r="N88" s="164"/>
      <c r="O88" s="165" t="s">
        <v>160</v>
      </c>
    </row>
    <row r="89" spans="3:27" ht="12.75">
      <c r="C89" s="48"/>
      <c r="D89" s="2"/>
      <c r="E89" s="135" t="s">
        <v>0</v>
      </c>
      <c r="F89" s="136"/>
      <c r="G89" s="90" t="s">
        <v>3</v>
      </c>
      <c r="H89" s="416" t="s">
        <v>161</v>
      </c>
      <c r="I89" s="417"/>
      <c r="J89" s="417"/>
      <c r="K89" s="418"/>
      <c r="L89" s="416" t="s">
        <v>162</v>
      </c>
      <c r="M89" s="417"/>
      <c r="N89" s="417"/>
      <c r="O89" s="418"/>
      <c r="Q89" s="135" t="s">
        <v>0</v>
      </c>
      <c r="R89" s="136"/>
      <c r="S89" s="90" t="s">
        <v>3</v>
      </c>
      <c r="T89" s="416" t="s">
        <v>161</v>
      </c>
      <c r="U89" s="417"/>
      <c r="V89" s="417"/>
      <c r="W89" s="418"/>
      <c r="X89" s="416" t="s">
        <v>162</v>
      </c>
      <c r="Y89" s="417"/>
      <c r="Z89" s="417"/>
      <c r="AA89" s="418"/>
    </row>
    <row r="90" spans="3:27" ht="13.5" thickBot="1">
      <c r="C90" s="48"/>
      <c r="D90" s="48"/>
      <c r="E90" s="137" t="s">
        <v>1</v>
      </c>
      <c r="F90" s="138" t="s">
        <v>2</v>
      </c>
      <c r="G90" s="89" t="s">
        <v>4</v>
      </c>
      <c r="H90" s="139" t="s">
        <v>5</v>
      </c>
      <c r="I90" s="140" t="s">
        <v>6</v>
      </c>
      <c r="J90" s="141" t="s">
        <v>7</v>
      </c>
      <c r="K90" s="142" t="s">
        <v>8</v>
      </c>
      <c r="L90" s="139" t="s">
        <v>5</v>
      </c>
      <c r="M90" s="140" t="s">
        <v>6</v>
      </c>
      <c r="N90" s="141" t="s">
        <v>7</v>
      </c>
      <c r="O90" s="142" t="s">
        <v>8</v>
      </c>
      <c r="Q90" s="137" t="s">
        <v>1</v>
      </c>
      <c r="R90" s="138" t="s">
        <v>2</v>
      </c>
      <c r="S90" s="89" t="s">
        <v>4</v>
      </c>
      <c r="T90" s="139" t="s">
        <v>5</v>
      </c>
      <c r="U90" s="140" t="s">
        <v>6</v>
      </c>
      <c r="V90" s="141" t="s">
        <v>7</v>
      </c>
      <c r="W90" s="142" t="s">
        <v>8</v>
      </c>
      <c r="X90" s="139" t="s">
        <v>5</v>
      </c>
      <c r="Y90" s="140" t="s">
        <v>6</v>
      </c>
      <c r="Z90" s="141" t="s">
        <v>7</v>
      </c>
      <c r="AA90" s="142" t="s">
        <v>8</v>
      </c>
    </row>
    <row r="91" spans="3:27" ht="12.75">
      <c r="C91" s="48"/>
      <c r="D91" s="192"/>
      <c r="E91" s="143"/>
      <c r="F91" s="144">
        <v>0.55</v>
      </c>
      <c r="G91" s="132">
        <v>0.02</v>
      </c>
      <c r="H91" s="135"/>
      <c r="I91" s="145">
        <v>12.8</v>
      </c>
      <c r="J91" s="246">
        <v>51.2</v>
      </c>
      <c r="K91" s="247">
        <v>111</v>
      </c>
      <c r="L91" s="135"/>
      <c r="M91" s="145">
        <v>11.8</v>
      </c>
      <c r="N91" s="246">
        <v>47.2</v>
      </c>
      <c r="O91" s="247">
        <v>119</v>
      </c>
      <c r="Q91" s="143"/>
      <c r="R91" s="248">
        <v>2.59</v>
      </c>
      <c r="S91" s="132">
        <v>0.36</v>
      </c>
      <c r="T91" s="135"/>
      <c r="U91" s="145">
        <v>18.8</v>
      </c>
      <c r="V91" s="146">
        <v>15</v>
      </c>
      <c r="W91" s="247">
        <v>135</v>
      </c>
      <c r="X91" s="135"/>
      <c r="Y91" s="145">
        <v>17.3</v>
      </c>
      <c r="Z91" s="146">
        <v>13.8</v>
      </c>
      <c r="AA91" s="247">
        <v>146</v>
      </c>
    </row>
    <row r="92" spans="3:27" ht="12.75">
      <c r="C92" s="48"/>
      <c r="D92" s="192"/>
      <c r="E92" s="143"/>
      <c r="F92" s="147">
        <v>1.03</v>
      </c>
      <c r="G92" s="148">
        <v>0.07</v>
      </c>
      <c r="H92" s="143"/>
      <c r="I92" s="147">
        <v>15.1</v>
      </c>
      <c r="J92" s="249">
        <v>30.2</v>
      </c>
      <c r="K92" s="250">
        <v>120</v>
      </c>
      <c r="L92" s="143"/>
      <c r="M92" s="147">
        <v>13.8</v>
      </c>
      <c r="N92" s="249">
        <v>27.6</v>
      </c>
      <c r="O92" s="250">
        <v>129</v>
      </c>
      <c r="Q92" s="143"/>
      <c r="R92" s="251">
        <v>2.07</v>
      </c>
      <c r="S92" s="148">
        <v>0.24</v>
      </c>
      <c r="T92" s="143"/>
      <c r="U92" s="147">
        <v>17.4</v>
      </c>
      <c r="V92" s="149">
        <v>17.4</v>
      </c>
      <c r="W92" s="250">
        <v>130</v>
      </c>
      <c r="X92" s="143"/>
      <c r="Y92" s="147">
        <v>16.1</v>
      </c>
      <c r="Z92" s="149">
        <v>16.1</v>
      </c>
      <c r="AA92" s="250">
        <v>140</v>
      </c>
    </row>
    <row r="93" spans="3:27" ht="12.75">
      <c r="C93" s="245"/>
      <c r="D93" s="192"/>
      <c r="E93" s="150" t="s">
        <v>9</v>
      </c>
      <c r="F93" s="144">
        <v>1.55</v>
      </c>
      <c r="G93" s="132">
        <v>0.15</v>
      </c>
      <c r="H93" s="143">
        <v>230</v>
      </c>
      <c r="I93" s="144">
        <v>16.2</v>
      </c>
      <c r="J93" s="252">
        <v>21.6</v>
      </c>
      <c r="K93" s="253">
        <v>125</v>
      </c>
      <c r="L93" s="143">
        <v>185</v>
      </c>
      <c r="M93" s="144">
        <v>15</v>
      </c>
      <c r="N93" s="252">
        <v>20</v>
      </c>
      <c r="O93" s="253">
        <v>135</v>
      </c>
      <c r="Q93" s="150" t="s">
        <v>9</v>
      </c>
      <c r="R93" s="248">
        <v>1.55</v>
      </c>
      <c r="S93" s="132">
        <v>0.15</v>
      </c>
      <c r="T93" s="143">
        <v>230</v>
      </c>
      <c r="U93" s="144">
        <v>16.2</v>
      </c>
      <c r="V93" s="151">
        <v>21.6</v>
      </c>
      <c r="W93" s="253">
        <v>125</v>
      </c>
      <c r="X93" s="143">
        <v>185</v>
      </c>
      <c r="Y93" s="144">
        <v>15</v>
      </c>
      <c r="Z93" s="151">
        <v>20</v>
      </c>
      <c r="AA93" s="253">
        <v>135</v>
      </c>
    </row>
    <row r="94" spans="3:27" ht="12.75">
      <c r="C94" s="48"/>
      <c r="D94" s="192"/>
      <c r="E94" s="143"/>
      <c r="F94" s="147">
        <v>2.07</v>
      </c>
      <c r="G94" s="148">
        <v>0.24</v>
      </c>
      <c r="H94" s="143"/>
      <c r="I94" s="147">
        <v>17.4</v>
      </c>
      <c r="J94" s="249">
        <v>17.4</v>
      </c>
      <c r="K94" s="250">
        <v>130</v>
      </c>
      <c r="L94" s="143"/>
      <c r="M94" s="147">
        <v>16.1</v>
      </c>
      <c r="N94" s="249">
        <v>16.1</v>
      </c>
      <c r="O94" s="250">
        <v>140</v>
      </c>
      <c r="Q94" s="143"/>
      <c r="R94" s="251">
        <v>1.03</v>
      </c>
      <c r="S94" s="148">
        <v>0.07</v>
      </c>
      <c r="T94" s="143"/>
      <c r="U94" s="147">
        <v>15.1</v>
      </c>
      <c r="V94" s="149">
        <v>30.2</v>
      </c>
      <c r="W94" s="250">
        <v>120</v>
      </c>
      <c r="X94" s="143"/>
      <c r="Y94" s="147">
        <v>13.8</v>
      </c>
      <c r="Z94" s="149">
        <v>27.6</v>
      </c>
      <c r="AA94" s="250">
        <v>129</v>
      </c>
    </row>
    <row r="95" spans="3:27" ht="13.5" thickBot="1">
      <c r="C95" s="48"/>
      <c r="D95" s="192"/>
      <c r="E95" s="137"/>
      <c r="F95" s="152">
        <v>2.59</v>
      </c>
      <c r="G95" s="153">
        <v>0.36</v>
      </c>
      <c r="H95" s="137"/>
      <c r="I95" s="152">
        <v>18.8</v>
      </c>
      <c r="J95" s="254">
        <v>15</v>
      </c>
      <c r="K95" s="255">
        <v>135</v>
      </c>
      <c r="L95" s="137"/>
      <c r="M95" s="152">
        <v>17.3</v>
      </c>
      <c r="N95" s="254">
        <v>13.8</v>
      </c>
      <c r="O95" s="255">
        <v>146</v>
      </c>
      <c r="Q95" s="137"/>
      <c r="R95" s="256">
        <v>0.51</v>
      </c>
      <c r="S95" s="153">
        <v>0.02</v>
      </c>
      <c r="T95" s="137"/>
      <c r="U95" s="152">
        <v>12.8</v>
      </c>
      <c r="V95" s="154">
        <v>51.2</v>
      </c>
      <c r="W95" s="255">
        <v>111</v>
      </c>
      <c r="X95" s="137"/>
      <c r="Y95" s="152">
        <v>11.8</v>
      </c>
      <c r="Z95" s="154">
        <v>47.2</v>
      </c>
      <c r="AA95" s="255">
        <v>119</v>
      </c>
    </row>
    <row r="96" spans="3:27" ht="12.75">
      <c r="C96" s="48"/>
      <c r="D96" s="192"/>
      <c r="E96" s="143"/>
      <c r="F96" s="144">
        <v>1.03</v>
      </c>
      <c r="G96" s="132">
        <v>0.08</v>
      </c>
      <c r="H96" s="135"/>
      <c r="I96" s="145">
        <v>21.3</v>
      </c>
      <c r="J96" s="246">
        <v>42.6</v>
      </c>
      <c r="K96" s="247">
        <v>118</v>
      </c>
      <c r="L96" s="135"/>
      <c r="M96" s="145">
        <v>19.1</v>
      </c>
      <c r="N96" s="246">
        <v>38.2</v>
      </c>
      <c r="O96" s="247">
        <v>125</v>
      </c>
      <c r="Q96" s="143"/>
      <c r="R96" s="248">
        <v>3.11</v>
      </c>
      <c r="S96" s="132">
        <v>0.55</v>
      </c>
      <c r="T96" s="135"/>
      <c r="U96" s="145">
        <v>23.8</v>
      </c>
      <c r="V96" s="146">
        <v>15.8</v>
      </c>
      <c r="W96" s="247">
        <v>126</v>
      </c>
      <c r="X96" s="135"/>
      <c r="Y96" s="145">
        <v>21.1</v>
      </c>
      <c r="Z96" s="146">
        <v>14.1</v>
      </c>
      <c r="AA96" s="247">
        <v>132</v>
      </c>
    </row>
    <row r="97" spans="3:27" ht="12.75">
      <c r="C97" s="48"/>
      <c r="D97" s="192"/>
      <c r="E97" s="143"/>
      <c r="F97" s="147">
        <v>1.55</v>
      </c>
      <c r="G97" s="148">
        <v>0.16</v>
      </c>
      <c r="H97" s="143"/>
      <c r="I97" s="147">
        <v>21.9</v>
      </c>
      <c r="J97" s="249">
        <v>28.9</v>
      </c>
      <c r="K97" s="250">
        <v>120</v>
      </c>
      <c r="L97" s="143"/>
      <c r="M97" s="147">
        <v>19.8</v>
      </c>
      <c r="N97" s="249">
        <v>26.4</v>
      </c>
      <c r="O97" s="250">
        <v>128</v>
      </c>
      <c r="Q97" s="143"/>
      <c r="R97" s="251">
        <v>2.58</v>
      </c>
      <c r="S97" s="148">
        <v>0.4</v>
      </c>
      <c r="T97" s="143"/>
      <c r="U97" s="147">
        <v>23.5</v>
      </c>
      <c r="V97" s="149">
        <v>18.8</v>
      </c>
      <c r="W97" s="250">
        <v>125</v>
      </c>
      <c r="X97" s="143"/>
      <c r="Y97" s="147">
        <v>20.7</v>
      </c>
      <c r="Z97" s="149">
        <v>16.6</v>
      </c>
      <c r="AA97" s="250">
        <v>131</v>
      </c>
    </row>
    <row r="98" spans="3:27" ht="12.75">
      <c r="C98" s="245"/>
      <c r="D98" s="192"/>
      <c r="E98" s="150" t="s">
        <v>10</v>
      </c>
      <c r="F98" s="144">
        <v>2.06</v>
      </c>
      <c r="G98" s="132">
        <v>0.28</v>
      </c>
      <c r="H98" s="143">
        <v>335</v>
      </c>
      <c r="I98" s="144">
        <v>22.7</v>
      </c>
      <c r="J98" s="252">
        <v>22.7</v>
      </c>
      <c r="K98" s="253">
        <v>122</v>
      </c>
      <c r="L98" s="143">
        <v>270</v>
      </c>
      <c r="M98" s="144">
        <v>20.1</v>
      </c>
      <c r="N98" s="252">
        <v>20.1</v>
      </c>
      <c r="O98" s="253">
        <v>129</v>
      </c>
      <c r="Q98" s="150" t="s">
        <v>10</v>
      </c>
      <c r="R98" s="248">
        <v>2.06</v>
      </c>
      <c r="S98" s="132">
        <v>0.28</v>
      </c>
      <c r="T98" s="143">
        <v>335</v>
      </c>
      <c r="U98" s="144">
        <v>22.7</v>
      </c>
      <c r="V98" s="151">
        <v>22.7</v>
      </c>
      <c r="W98" s="253">
        <v>122</v>
      </c>
      <c r="X98" s="143">
        <v>270</v>
      </c>
      <c r="Y98" s="144">
        <v>20.1</v>
      </c>
      <c r="Z98" s="151">
        <v>20.1</v>
      </c>
      <c r="AA98" s="253">
        <v>129</v>
      </c>
    </row>
    <row r="99" spans="3:27" ht="12.75">
      <c r="C99" s="48"/>
      <c r="D99" s="192"/>
      <c r="E99" s="143"/>
      <c r="F99" s="147">
        <v>2.58</v>
      </c>
      <c r="G99" s="148">
        <v>0.4</v>
      </c>
      <c r="H99" s="143"/>
      <c r="I99" s="147">
        <v>23.5</v>
      </c>
      <c r="J99" s="249">
        <v>18.8</v>
      </c>
      <c r="K99" s="250">
        <v>125</v>
      </c>
      <c r="L99" s="143"/>
      <c r="M99" s="147">
        <v>20.7</v>
      </c>
      <c r="N99" s="249">
        <v>16.6</v>
      </c>
      <c r="O99" s="250">
        <v>131</v>
      </c>
      <c r="Q99" s="143"/>
      <c r="R99" s="251">
        <v>1.55</v>
      </c>
      <c r="S99" s="148">
        <v>0.16</v>
      </c>
      <c r="T99" s="143"/>
      <c r="U99" s="147">
        <v>21.9</v>
      </c>
      <c r="V99" s="149">
        <v>28.9</v>
      </c>
      <c r="W99" s="250">
        <v>120</v>
      </c>
      <c r="X99" s="143"/>
      <c r="Y99" s="147">
        <v>19.8</v>
      </c>
      <c r="Z99" s="149">
        <v>26.4</v>
      </c>
      <c r="AA99" s="250">
        <v>128</v>
      </c>
    </row>
    <row r="100" spans="3:27" ht="13.5" thickBot="1">
      <c r="C100" s="48"/>
      <c r="D100" s="192"/>
      <c r="E100" s="137"/>
      <c r="F100" s="152">
        <v>3</v>
      </c>
      <c r="G100" s="153">
        <v>0.55</v>
      </c>
      <c r="H100" s="137"/>
      <c r="I100" s="152">
        <v>23.8</v>
      </c>
      <c r="J100" s="254">
        <v>15.8</v>
      </c>
      <c r="K100" s="255">
        <v>126</v>
      </c>
      <c r="L100" s="137"/>
      <c r="M100" s="152">
        <v>21.1</v>
      </c>
      <c r="N100" s="254">
        <v>14.1</v>
      </c>
      <c r="O100" s="255">
        <v>132</v>
      </c>
      <c r="Q100" s="137"/>
      <c r="R100" s="256">
        <v>1.03</v>
      </c>
      <c r="S100" s="153">
        <v>0.08</v>
      </c>
      <c r="T100" s="137"/>
      <c r="U100" s="152">
        <v>21.3</v>
      </c>
      <c r="V100" s="154">
        <v>42.6</v>
      </c>
      <c r="W100" s="255">
        <v>118</v>
      </c>
      <c r="X100" s="137"/>
      <c r="Y100" s="152">
        <v>19.1</v>
      </c>
      <c r="Z100" s="154">
        <v>38.2</v>
      </c>
      <c r="AA100" s="255">
        <v>125</v>
      </c>
    </row>
    <row r="101" spans="3:27" ht="12.75">
      <c r="C101" s="48"/>
      <c r="D101" s="192"/>
      <c r="E101" s="143"/>
      <c r="F101" s="144">
        <v>1.03</v>
      </c>
      <c r="G101" s="132">
        <v>0.08</v>
      </c>
      <c r="H101" s="135"/>
      <c r="I101" s="145">
        <v>21.8</v>
      </c>
      <c r="J101" s="246">
        <v>43.6</v>
      </c>
      <c r="K101" s="247">
        <v>106</v>
      </c>
      <c r="L101" s="135"/>
      <c r="M101" s="145">
        <v>19</v>
      </c>
      <c r="N101" s="246">
        <v>38</v>
      </c>
      <c r="O101" s="247">
        <v>111</v>
      </c>
      <c r="Q101" s="143"/>
      <c r="R101" s="248">
        <v>5.18</v>
      </c>
      <c r="S101" s="132">
        <v>1.42</v>
      </c>
      <c r="T101" s="135"/>
      <c r="U101" s="145">
        <v>32.3</v>
      </c>
      <c r="V101" s="146">
        <v>12.9</v>
      </c>
      <c r="W101" s="247">
        <v>129</v>
      </c>
      <c r="X101" s="135"/>
      <c r="Y101" s="145">
        <v>28.3</v>
      </c>
      <c r="Z101" s="146">
        <v>11.3</v>
      </c>
      <c r="AA101" s="247">
        <v>136</v>
      </c>
    </row>
    <row r="102" spans="3:27" ht="12.75">
      <c r="C102" s="48"/>
      <c r="D102" s="192"/>
      <c r="E102" s="143"/>
      <c r="F102" s="147">
        <v>2.06</v>
      </c>
      <c r="G102" s="148">
        <v>0.29</v>
      </c>
      <c r="H102" s="143"/>
      <c r="I102" s="147">
        <v>26.6</v>
      </c>
      <c r="J102" s="249">
        <v>26.6</v>
      </c>
      <c r="K102" s="250">
        <v>117</v>
      </c>
      <c r="L102" s="143"/>
      <c r="M102" s="147">
        <v>23.9</v>
      </c>
      <c r="N102" s="249">
        <v>23.9</v>
      </c>
      <c r="O102" s="250">
        <v>124</v>
      </c>
      <c r="Q102" s="143"/>
      <c r="R102" s="251">
        <v>4.14</v>
      </c>
      <c r="S102" s="148">
        <v>0.95</v>
      </c>
      <c r="T102" s="143"/>
      <c r="U102" s="147">
        <v>30.9</v>
      </c>
      <c r="V102" s="149">
        <v>15.4</v>
      </c>
      <c r="W102" s="250">
        <v>126</v>
      </c>
      <c r="X102" s="143"/>
      <c r="Y102" s="147">
        <v>27.4</v>
      </c>
      <c r="Z102" s="149">
        <v>13.7</v>
      </c>
      <c r="AA102" s="250">
        <v>133</v>
      </c>
    </row>
    <row r="103" spans="3:27" ht="12.75">
      <c r="C103" s="245"/>
      <c r="D103" s="192"/>
      <c r="E103" s="150" t="s">
        <v>11</v>
      </c>
      <c r="F103" s="144">
        <v>2.59</v>
      </c>
      <c r="G103" s="132">
        <v>0.43</v>
      </c>
      <c r="H103" s="143">
        <v>430</v>
      </c>
      <c r="I103" s="144">
        <v>29</v>
      </c>
      <c r="J103" s="252">
        <v>23.2</v>
      </c>
      <c r="K103" s="253">
        <v>122</v>
      </c>
      <c r="L103" s="143">
        <v>345</v>
      </c>
      <c r="M103" s="144">
        <v>25.8</v>
      </c>
      <c r="N103" s="252">
        <v>20.5</v>
      </c>
      <c r="O103" s="253">
        <v>129</v>
      </c>
      <c r="Q103" s="150" t="s">
        <v>11</v>
      </c>
      <c r="R103" s="248">
        <v>2.59</v>
      </c>
      <c r="S103" s="132">
        <v>0.43</v>
      </c>
      <c r="T103" s="143">
        <v>430</v>
      </c>
      <c r="U103" s="144">
        <v>29</v>
      </c>
      <c r="V103" s="151">
        <v>23.2</v>
      </c>
      <c r="W103" s="253">
        <v>122</v>
      </c>
      <c r="X103" s="143">
        <v>345</v>
      </c>
      <c r="Y103" s="144">
        <v>25.8</v>
      </c>
      <c r="Z103" s="151">
        <v>20.5</v>
      </c>
      <c r="AA103" s="253">
        <v>129</v>
      </c>
    </row>
    <row r="104" spans="3:27" ht="12.75">
      <c r="C104" s="48"/>
      <c r="D104" s="192"/>
      <c r="E104" s="143"/>
      <c r="F104" s="147">
        <v>4.14</v>
      </c>
      <c r="G104" s="148">
        <v>0.95</v>
      </c>
      <c r="H104" s="143"/>
      <c r="I104" s="147">
        <v>30.9</v>
      </c>
      <c r="J104" s="249">
        <v>15.4</v>
      </c>
      <c r="K104" s="250">
        <v>126</v>
      </c>
      <c r="L104" s="143"/>
      <c r="M104" s="147">
        <v>27.4</v>
      </c>
      <c r="N104" s="249">
        <v>13.7</v>
      </c>
      <c r="O104" s="250">
        <v>133</v>
      </c>
      <c r="Q104" s="143"/>
      <c r="R104" s="251">
        <v>2.06</v>
      </c>
      <c r="S104" s="148">
        <v>0.29</v>
      </c>
      <c r="T104" s="143"/>
      <c r="U104" s="147">
        <v>26.6</v>
      </c>
      <c r="V104" s="149">
        <v>26.6</v>
      </c>
      <c r="W104" s="250">
        <v>117</v>
      </c>
      <c r="X104" s="143"/>
      <c r="Y104" s="147">
        <v>23.9</v>
      </c>
      <c r="Z104" s="149">
        <v>23.9</v>
      </c>
      <c r="AA104" s="250">
        <v>124</v>
      </c>
    </row>
    <row r="105" spans="3:27" ht="13.5" thickBot="1">
      <c r="C105" s="48"/>
      <c r="D105" s="192"/>
      <c r="E105" s="137"/>
      <c r="F105" s="152">
        <v>5.18</v>
      </c>
      <c r="G105" s="153">
        <v>1.42</v>
      </c>
      <c r="H105" s="137"/>
      <c r="I105" s="152">
        <v>32.3</v>
      </c>
      <c r="J105" s="254">
        <v>12.9</v>
      </c>
      <c r="K105" s="255">
        <v>129</v>
      </c>
      <c r="L105" s="137"/>
      <c r="M105" s="152">
        <v>28.3</v>
      </c>
      <c r="N105" s="254">
        <v>11.3</v>
      </c>
      <c r="O105" s="255">
        <v>136</v>
      </c>
      <c r="Q105" s="137"/>
      <c r="R105" s="256">
        <v>1.03</v>
      </c>
      <c r="S105" s="153">
        <v>0.08</v>
      </c>
      <c r="T105" s="137"/>
      <c r="U105" s="152">
        <v>21.8</v>
      </c>
      <c r="V105" s="154">
        <v>43.6</v>
      </c>
      <c r="W105" s="255">
        <v>106</v>
      </c>
      <c r="X105" s="137"/>
      <c r="Y105" s="152">
        <v>19</v>
      </c>
      <c r="Z105" s="154">
        <v>38</v>
      </c>
      <c r="AA105" s="255">
        <v>111</v>
      </c>
    </row>
    <row r="106" spans="3:27" ht="12.75">
      <c r="C106" s="48"/>
      <c r="D106" s="192"/>
      <c r="E106" s="143"/>
      <c r="F106" s="144">
        <v>2.07</v>
      </c>
      <c r="G106" s="132">
        <v>0.33</v>
      </c>
      <c r="H106" s="135"/>
      <c r="I106" s="145">
        <v>40.4</v>
      </c>
      <c r="J106" s="246">
        <v>40.4</v>
      </c>
      <c r="K106" s="247">
        <v>119</v>
      </c>
      <c r="L106" s="135"/>
      <c r="M106" s="145">
        <v>35.7</v>
      </c>
      <c r="N106" s="246">
        <v>35.7</v>
      </c>
      <c r="O106" s="247">
        <v>125</v>
      </c>
      <c r="Q106" s="143"/>
      <c r="R106" s="248">
        <v>6.17</v>
      </c>
      <c r="S106" s="132">
        <v>2.14</v>
      </c>
      <c r="T106" s="135"/>
      <c r="U106" s="145">
        <v>50.7</v>
      </c>
      <c r="V106" s="146">
        <v>16.9</v>
      </c>
      <c r="W106" s="247">
        <v>134</v>
      </c>
      <c r="X106" s="135"/>
      <c r="Y106" s="145">
        <v>44.6</v>
      </c>
      <c r="Z106" s="146">
        <v>15</v>
      </c>
      <c r="AA106" s="247">
        <v>142</v>
      </c>
    </row>
    <row r="107" spans="3:27" ht="12.75">
      <c r="C107" s="48"/>
      <c r="D107" s="192"/>
      <c r="E107" s="143"/>
      <c r="F107" s="147">
        <v>3.1</v>
      </c>
      <c r="G107" s="148">
        <v>0.66</v>
      </c>
      <c r="H107" s="143"/>
      <c r="I107" s="147">
        <v>44.8</v>
      </c>
      <c r="J107" s="249">
        <v>29.8</v>
      </c>
      <c r="K107" s="250">
        <v>125</v>
      </c>
      <c r="L107" s="143"/>
      <c r="M107" s="147">
        <v>39.8</v>
      </c>
      <c r="N107" s="249">
        <v>26.5</v>
      </c>
      <c r="O107" s="250">
        <v>133</v>
      </c>
      <c r="Q107" s="143"/>
      <c r="R107" s="251">
        <v>5.15</v>
      </c>
      <c r="S107" s="148">
        <v>1.57</v>
      </c>
      <c r="T107" s="143"/>
      <c r="U107" s="147">
        <v>49.4</v>
      </c>
      <c r="V107" s="149">
        <v>19.8</v>
      </c>
      <c r="W107" s="250">
        <v>132</v>
      </c>
      <c r="X107" s="143"/>
      <c r="Y107" s="147">
        <v>43.6</v>
      </c>
      <c r="Z107" s="149">
        <v>17.5</v>
      </c>
      <c r="AA107" s="250">
        <v>140</v>
      </c>
    </row>
    <row r="108" spans="3:27" ht="12.75">
      <c r="C108" s="245"/>
      <c r="D108" s="192"/>
      <c r="E108" s="150" t="s">
        <v>12</v>
      </c>
      <c r="F108" s="144">
        <v>4.12</v>
      </c>
      <c r="G108" s="132">
        <v>1.06</v>
      </c>
      <c r="H108" s="143">
        <v>630</v>
      </c>
      <c r="I108" s="144">
        <v>47.2</v>
      </c>
      <c r="J108" s="252">
        <v>23.6</v>
      </c>
      <c r="K108" s="253">
        <v>129</v>
      </c>
      <c r="L108" s="143">
        <v>505</v>
      </c>
      <c r="M108" s="144">
        <v>41.9</v>
      </c>
      <c r="N108" s="252">
        <v>21</v>
      </c>
      <c r="O108" s="253">
        <v>136</v>
      </c>
      <c r="Q108" s="150" t="s">
        <v>12</v>
      </c>
      <c r="R108" s="248">
        <v>4.12</v>
      </c>
      <c r="S108" s="132">
        <v>1.06</v>
      </c>
      <c r="T108" s="143">
        <v>630</v>
      </c>
      <c r="U108" s="144">
        <v>47.2</v>
      </c>
      <c r="V108" s="151">
        <v>23.6</v>
      </c>
      <c r="W108" s="253">
        <v>129</v>
      </c>
      <c r="X108" s="143">
        <v>505</v>
      </c>
      <c r="Y108" s="144">
        <v>41.9</v>
      </c>
      <c r="Z108" s="151">
        <v>21</v>
      </c>
      <c r="AA108" s="253">
        <v>136</v>
      </c>
    </row>
    <row r="109" spans="3:27" ht="12.75">
      <c r="C109" s="48"/>
      <c r="D109" s="192"/>
      <c r="E109" s="143"/>
      <c r="F109" s="147">
        <v>5.15</v>
      </c>
      <c r="G109" s="148">
        <v>1.57</v>
      </c>
      <c r="H109" s="143"/>
      <c r="I109" s="147">
        <v>49.4</v>
      </c>
      <c r="J109" s="249">
        <v>19.8</v>
      </c>
      <c r="K109" s="250">
        <v>132</v>
      </c>
      <c r="L109" s="143"/>
      <c r="M109" s="147">
        <v>43.6</v>
      </c>
      <c r="N109" s="249">
        <v>17.5</v>
      </c>
      <c r="O109" s="250">
        <v>140</v>
      </c>
      <c r="Q109" s="143"/>
      <c r="R109" s="251">
        <v>3.1</v>
      </c>
      <c r="S109" s="148">
        <v>0.66</v>
      </c>
      <c r="T109" s="143"/>
      <c r="U109" s="147">
        <v>44.8</v>
      </c>
      <c r="V109" s="149">
        <v>29.8</v>
      </c>
      <c r="W109" s="250">
        <v>125</v>
      </c>
      <c r="X109" s="143"/>
      <c r="Y109" s="147">
        <v>39.8</v>
      </c>
      <c r="Z109" s="149">
        <v>26.5</v>
      </c>
      <c r="AA109" s="250">
        <v>133</v>
      </c>
    </row>
    <row r="110" spans="3:27" ht="13.5" thickBot="1">
      <c r="C110" s="48"/>
      <c r="D110" s="192"/>
      <c r="E110" s="137"/>
      <c r="F110" s="152">
        <v>6.17</v>
      </c>
      <c r="G110" s="153">
        <v>2.14</v>
      </c>
      <c r="H110" s="137"/>
      <c r="I110" s="152">
        <v>50.7</v>
      </c>
      <c r="J110" s="254">
        <v>16.9</v>
      </c>
      <c r="K110" s="255">
        <v>134</v>
      </c>
      <c r="L110" s="137"/>
      <c r="M110" s="152">
        <v>44.6</v>
      </c>
      <c r="N110" s="254">
        <v>15</v>
      </c>
      <c r="O110" s="255">
        <v>142</v>
      </c>
      <c r="Q110" s="137"/>
      <c r="R110" s="256">
        <v>2.07</v>
      </c>
      <c r="S110" s="153">
        <v>0.33</v>
      </c>
      <c r="T110" s="137"/>
      <c r="U110" s="152">
        <v>40.4</v>
      </c>
      <c r="V110" s="154">
        <v>40.4</v>
      </c>
      <c r="W110" s="255">
        <v>119</v>
      </c>
      <c r="X110" s="137"/>
      <c r="Y110" s="152">
        <v>35.7</v>
      </c>
      <c r="Z110" s="154">
        <v>35.7</v>
      </c>
      <c r="AA110" s="255">
        <v>125</v>
      </c>
    </row>
    <row r="111" spans="3:27" ht="12.75">
      <c r="C111" s="48"/>
      <c r="D111" s="192"/>
      <c r="E111" s="143"/>
      <c r="F111" s="144">
        <v>2.06</v>
      </c>
      <c r="G111" s="132">
        <v>0.35</v>
      </c>
      <c r="H111" s="135"/>
      <c r="I111" s="145">
        <v>47.1</v>
      </c>
      <c r="J111" s="246">
        <v>47.1</v>
      </c>
      <c r="K111" s="247">
        <v>110</v>
      </c>
      <c r="L111" s="135"/>
      <c r="M111" s="145">
        <v>42</v>
      </c>
      <c r="N111" s="246">
        <v>42</v>
      </c>
      <c r="O111" s="247">
        <v>117</v>
      </c>
      <c r="Q111" s="143"/>
      <c r="R111" s="248">
        <v>8.28</v>
      </c>
      <c r="S111" s="132">
        <v>3.87</v>
      </c>
      <c r="T111" s="135"/>
      <c r="U111" s="145">
        <v>57.8</v>
      </c>
      <c r="V111" s="146">
        <v>14.4</v>
      </c>
      <c r="W111" s="247">
        <v>122</v>
      </c>
      <c r="X111" s="135"/>
      <c r="Y111" s="145">
        <v>51.2</v>
      </c>
      <c r="Z111" s="146">
        <v>12.8</v>
      </c>
      <c r="AA111" s="247">
        <v>129</v>
      </c>
    </row>
    <row r="112" spans="3:27" ht="12.75">
      <c r="C112" s="48"/>
      <c r="D112" s="192"/>
      <c r="E112" s="143"/>
      <c r="F112" s="147">
        <v>3.09</v>
      </c>
      <c r="G112" s="148">
        <v>0.7</v>
      </c>
      <c r="H112" s="143"/>
      <c r="I112" s="147">
        <v>52.2</v>
      </c>
      <c r="J112" s="249">
        <v>34.8</v>
      </c>
      <c r="K112" s="250">
        <v>115</v>
      </c>
      <c r="L112" s="143"/>
      <c r="M112" s="147">
        <v>46.5</v>
      </c>
      <c r="N112" s="249">
        <v>31</v>
      </c>
      <c r="O112" s="250">
        <v>123</v>
      </c>
      <c r="Q112" s="143"/>
      <c r="R112" s="251">
        <v>6.19</v>
      </c>
      <c r="S112" s="148">
        <v>2.29</v>
      </c>
      <c r="T112" s="143"/>
      <c r="U112" s="147">
        <v>56</v>
      </c>
      <c r="V112" s="149">
        <v>18.6</v>
      </c>
      <c r="W112" s="250">
        <v>120</v>
      </c>
      <c r="X112" s="143"/>
      <c r="Y112" s="147">
        <v>49.1</v>
      </c>
      <c r="Z112" s="149">
        <v>16.4</v>
      </c>
      <c r="AA112" s="250">
        <v>126</v>
      </c>
    </row>
    <row r="113" spans="3:27" ht="12.75">
      <c r="C113" s="245"/>
      <c r="D113" s="192"/>
      <c r="E113" s="150" t="s">
        <v>13</v>
      </c>
      <c r="F113" s="144">
        <v>4.12</v>
      </c>
      <c r="G113" s="132">
        <v>1.13</v>
      </c>
      <c r="H113" s="143">
        <v>860</v>
      </c>
      <c r="I113" s="144">
        <v>53.9</v>
      </c>
      <c r="J113" s="252">
        <v>26.9</v>
      </c>
      <c r="K113" s="253">
        <v>117</v>
      </c>
      <c r="L113" s="143">
        <v>685</v>
      </c>
      <c r="M113" s="144">
        <v>48.3</v>
      </c>
      <c r="N113" s="252">
        <v>24.2</v>
      </c>
      <c r="O113" s="253">
        <v>125</v>
      </c>
      <c r="Q113" s="150" t="s">
        <v>13</v>
      </c>
      <c r="R113" s="248">
        <v>4.12</v>
      </c>
      <c r="S113" s="132">
        <v>1.13</v>
      </c>
      <c r="T113" s="143">
        <v>860</v>
      </c>
      <c r="U113" s="144">
        <v>53.9</v>
      </c>
      <c r="V113" s="151">
        <v>26.9</v>
      </c>
      <c r="W113" s="253">
        <v>117</v>
      </c>
      <c r="X113" s="143">
        <v>685</v>
      </c>
      <c r="Y113" s="144">
        <v>48.3</v>
      </c>
      <c r="Z113" s="151">
        <v>24.2</v>
      </c>
      <c r="AA113" s="253">
        <v>125</v>
      </c>
    </row>
    <row r="114" spans="3:27" ht="12.75">
      <c r="C114" s="48"/>
      <c r="D114" s="192"/>
      <c r="E114" s="143"/>
      <c r="F114" s="147">
        <v>6.2</v>
      </c>
      <c r="G114" s="148">
        <v>2.29</v>
      </c>
      <c r="H114" s="143"/>
      <c r="I114" s="147">
        <v>56</v>
      </c>
      <c r="J114" s="249">
        <v>18.6</v>
      </c>
      <c r="K114" s="250">
        <v>120</v>
      </c>
      <c r="L114" s="143"/>
      <c r="M114" s="147">
        <v>49.1</v>
      </c>
      <c r="N114" s="249">
        <v>16.4</v>
      </c>
      <c r="O114" s="250">
        <v>126</v>
      </c>
      <c r="Q114" s="143"/>
      <c r="R114" s="251">
        <v>3.09</v>
      </c>
      <c r="S114" s="148">
        <v>0.7</v>
      </c>
      <c r="T114" s="143"/>
      <c r="U114" s="147">
        <v>52.2</v>
      </c>
      <c r="V114" s="149">
        <v>34.8</v>
      </c>
      <c r="W114" s="250">
        <v>115</v>
      </c>
      <c r="X114" s="143"/>
      <c r="Y114" s="147">
        <v>46.5</v>
      </c>
      <c r="Z114" s="149">
        <v>31</v>
      </c>
      <c r="AA114" s="250">
        <v>123</v>
      </c>
    </row>
    <row r="115" spans="3:27" ht="13.5" thickBot="1">
      <c r="C115" s="48"/>
      <c r="D115" s="192"/>
      <c r="E115" s="137"/>
      <c r="F115" s="152">
        <v>8.28</v>
      </c>
      <c r="G115" s="153">
        <v>3.87</v>
      </c>
      <c r="H115" s="137"/>
      <c r="I115" s="152">
        <v>57.8</v>
      </c>
      <c r="J115" s="254">
        <v>14.4</v>
      </c>
      <c r="K115" s="255">
        <v>122</v>
      </c>
      <c r="L115" s="137"/>
      <c r="M115" s="152">
        <v>51.2</v>
      </c>
      <c r="N115" s="254">
        <v>12.8</v>
      </c>
      <c r="O115" s="255">
        <v>129</v>
      </c>
      <c r="Q115" s="137"/>
      <c r="R115" s="256">
        <v>2.06</v>
      </c>
      <c r="S115" s="153">
        <v>0.35</v>
      </c>
      <c r="T115" s="137"/>
      <c r="U115" s="152">
        <v>47.1</v>
      </c>
      <c r="V115" s="154">
        <v>47.1</v>
      </c>
      <c r="W115" s="255">
        <v>110</v>
      </c>
      <c r="X115" s="137"/>
      <c r="Y115" s="152">
        <v>42</v>
      </c>
      <c r="Z115" s="154">
        <v>42</v>
      </c>
      <c r="AA115" s="255">
        <v>117</v>
      </c>
    </row>
    <row r="116" spans="3:27" ht="12.75">
      <c r="C116" s="48"/>
      <c r="D116" s="192"/>
      <c r="E116" s="143"/>
      <c r="F116" s="144">
        <v>3.09</v>
      </c>
      <c r="G116" s="132">
        <v>0.72</v>
      </c>
      <c r="H116" s="135"/>
      <c r="I116" s="145">
        <v>52.1</v>
      </c>
      <c r="J116" s="246">
        <v>34.7</v>
      </c>
      <c r="K116" s="247">
        <v>105.3</v>
      </c>
      <c r="L116" s="135"/>
      <c r="M116" s="145">
        <v>50.2</v>
      </c>
      <c r="N116" s="246">
        <v>33.5</v>
      </c>
      <c r="O116" s="247">
        <v>115</v>
      </c>
      <c r="Q116" s="143"/>
      <c r="R116" s="248">
        <v>10.33</v>
      </c>
      <c r="S116" s="132">
        <v>6.01</v>
      </c>
      <c r="T116" s="135"/>
      <c r="U116" s="145">
        <v>66</v>
      </c>
      <c r="V116" s="146">
        <v>13.2</v>
      </c>
      <c r="W116" s="247">
        <v>117</v>
      </c>
      <c r="X116" s="135"/>
      <c r="Y116" s="145">
        <v>58.9</v>
      </c>
      <c r="Z116" s="146">
        <v>11.8</v>
      </c>
      <c r="AA116" s="247">
        <v>124</v>
      </c>
    </row>
    <row r="117" spans="3:27" ht="12.75">
      <c r="C117" s="48"/>
      <c r="D117" s="192"/>
      <c r="E117" s="143"/>
      <c r="F117" s="147">
        <v>4.12</v>
      </c>
      <c r="G117" s="148">
        <v>1.15</v>
      </c>
      <c r="H117" s="143"/>
      <c r="I117" s="147">
        <v>60.4</v>
      </c>
      <c r="J117" s="249">
        <v>30.2</v>
      </c>
      <c r="K117" s="250">
        <v>112</v>
      </c>
      <c r="L117" s="143"/>
      <c r="M117" s="147">
        <v>53.5</v>
      </c>
      <c r="N117" s="249">
        <v>26.8</v>
      </c>
      <c r="O117" s="250">
        <v>118</v>
      </c>
      <c r="Q117" s="143"/>
      <c r="R117" s="251">
        <v>8.27</v>
      </c>
      <c r="S117" s="148">
        <v>3.94</v>
      </c>
      <c r="T117" s="143"/>
      <c r="U117" s="147">
        <v>64.1</v>
      </c>
      <c r="V117" s="149">
        <v>16</v>
      </c>
      <c r="W117" s="250">
        <v>116</v>
      </c>
      <c r="X117" s="143"/>
      <c r="Y117" s="147">
        <v>56.3</v>
      </c>
      <c r="Z117" s="149">
        <v>14.1</v>
      </c>
      <c r="AA117" s="250">
        <v>121</v>
      </c>
    </row>
    <row r="118" spans="3:27" ht="12.75">
      <c r="C118" s="245"/>
      <c r="D118" s="192"/>
      <c r="E118" s="150" t="s">
        <v>14</v>
      </c>
      <c r="F118" s="144">
        <v>6.21</v>
      </c>
      <c r="G118" s="132">
        <v>2.35</v>
      </c>
      <c r="H118" s="143">
        <v>1060</v>
      </c>
      <c r="I118" s="144">
        <v>62.2</v>
      </c>
      <c r="J118" s="252">
        <v>20.7</v>
      </c>
      <c r="K118" s="253">
        <v>114</v>
      </c>
      <c r="L118" s="143">
        <v>845</v>
      </c>
      <c r="M118" s="144">
        <v>54.7</v>
      </c>
      <c r="N118" s="252">
        <v>18.2</v>
      </c>
      <c r="O118" s="253">
        <v>120</v>
      </c>
      <c r="Q118" s="150" t="s">
        <v>14</v>
      </c>
      <c r="R118" s="248">
        <v>6.21</v>
      </c>
      <c r="S118" s="132">
        <v>2.35</v>
      </c>
      <c r="T118" s="143">
        <v>1060</v>
      </c>
      <c r="U118" s="144">
        <v>62.2</v>
      </c>
      <c r="V118" s="151">
        <v>20.7</v>
      </c>
      <c r="W118" s="253">
        <v>114</v>
      </c>
      <c r="X118" s="143">
        <v>845</v>
      </c>
      <c r="Y118" s="144">
        <v>54.7</v>
      </c>
      <c r="Z118" s="151">
        <v>18.2</v>
      </c>
      <c r="AA118" s="253">
        <v>120</v>
      </c>
    </row>
    <row r="119" spans="3:27" ht="12.75">
      <c r="C119" s="48"/>
      <c r="D119" s="192"/>
      <c r="E119" s="143"/>
      <c r="F119" s="147">
        <v>8.27</v>
      </c>
      <c r="G119" s="148">
        <v>3.94</v>
      </c>
      <c r="H119" s="143"/>
      <c r="I119" s="147">
        <v>64.1</v>
      </c>
      <c r="J119" s="249">
        <v>16</v>
      </c>
      <c r="K119" s="250">
        <v>116</v>
      </c>
      <c r="L119" s="143"/>
      <c r="M119" s="147">
        <v>56.3</v>
      </c>
      <c r="N119" s="249">
        <v>14.1</v>
      </c>
      <c r="O119" s="250">
        <v>121</v>
      </c>
      <c r="Q119" s="143"/>
      <c r="R119" s="251">
        <v>4.12</v>
      </c>
      <c r="S119" s="148">
        <v>1.15</v>
      </c>
      <c r="T119" s="143"/>
      <c r="U119" s="147">
        <v>60.4</v>
      </c>
      <c r="V119" s="149">
        <v>30.2</v>
      </c>
      <c r="W119" s="250">
        <v>112</v>
      </c>
      <c r="X119" s="143"/>
      <c r="Y119" s="147">
        <v>53.5</v>
      </c>
      <c r="Z119" s="149">
        <v>26.8</v>
      </c>
      <c r="AA119" s="250">
        <v>118</v>
      </c>
    </row>
    <row r="120" spans="3:27" ht="13.5" thickBot="1">
      <c r="C120" s="48"/>
      <c r="D120" s="192"/>
      <c r="E120" s="137"/>
      <c r="F120" s="152">
        <v>10.33</v>
      </c>
      <c r="G120" s="153">
        <v>6.01</v>
      </c>
      <c r="H120" s="137"/>
      <c r="I120" s="152">
        <v>66</v>
      </c>
      <c r="J120" s="254">
        <v>13.2</v>
      </c>
      <c r="K120" s="255">
        <v>117</v>
      </c>
      <c r="L120" s="137"/>
      <c r="M120" s="152">
        <v>58.9</v>
      </c>
      <c r="N120" s="254">
        <v>11.8</v>
      </c>
      <c r="O120" s="255">
        <v>124</v>
      </c>
      <c r="Q120" s="137"/>
      <c r="R120" s="256">
        <v>3.09</v>
      </c>
      <c r="S120" s="153">
        <v>0.72</v>
      </c>
      <c r="T120" s="137"/>
      <c r="U120" s="152">
        <v>52.1</v>
      </c>
      <c r="V120" s="154">
        <v>34.7</v>
      </c>
      <c r="W120" s="255">
        <v>105.3</v>
      </c>
      <c r="X120" s="137"/>
      <c r="Y120" s="152">
        <v>50.2</v>
      </c>
      <c r="Z120" s="154">
        <v>33.5</v>
      </c>
      <c r="AA120" s="255">
        <v>115</v>
      </c>
    </row>
    <row r="121" spans="3:27" ht="12.75">
      <c r="C121" s="48"/>
      <c r="D121" s="192"/>
      <c r="E121" s="143"/>
      <c r="F121" s="144">
        <v>4.12</v>
      </c>
      <c r="G121" s="132">
        <v>1.21</v>
      </c>
      <c r="H121" s="135"/>
      <c r="I121" s="145">
        <v>71.5</v>
      </c>
      <c r="J121" s="246">
        <v>35.7</v>
      </c>
      <c r="K121" s="247">
        <v>113</v>
      </c>
      <c r="L121" s="135"/>
      <c r="M121" s="145">
        <v>65.1</v>
      </c>
      <c r="N121" s="246">
        <v>32.6</v>
      </c>
      <c r="O121" s="247">
        <v>131</v>
      </c>
      <c r="Q121" s="143"/>
      <c r="R121" s="248">
        <v>12.42</v>
      </c>
      <c r="S121" s="132">
        <v>8.83</v>
      </c>
      <c r="T121" s="135"/>
      <c r="U121" s="145">
        <v>78.6</v>
      </c>
      <c r="V121" s="146">
        <v>13.1</v>
      </c>
      <c r="W121" s="247">
        <v>119</v>
      </c>
      <c r="X121" s="135"/>
      <c r="Y121" s="145">
        <v>69.7</v>
      </c>
      <c r="Z121" s="146">
        <v>11.6</v>
      </c>
      <c r="AA121" s="247">
        <v>136</v>
      </c>
    </row>
    <row r="122" spans="3:27" ht="12.75">
      <c r="C122" s="48"/>
      <c r="D122" s="192"/>
      <c r="E122" s="143"/>
      <c r="F122" s="147">
        <v>6.2</v>
      </c>
      <c r="G122" s="148">
        <v>2.45</v>
      </c>
      <c r="H122" s="143"/>
      <c r="I122" s="147">
        <v>74.5</v>
      </c>
      <c r="J122" s="249">
        <v>24.8</v>
      </c>
      <c r="K122" s="250">
        <v>116</v>
      </c>
      <c r="L122" s="143"/>
      <c r="M122" s="147">
        <v>66.6</v>
      </c>
      <c r="N122" s="249">
        <v>22.2</v>
      </c>
      <c r="O122" s="250">
        <v>133</v>
      </c>
      <c r="Q122" s="143"/>
      <c r="R122" s="251">
        <v>10.35</v>
      </c>
      <c r="S122" s="148">
        <v>6.29</v>
      </c>
      <c r="T122" s="143"/>
      <c r="U122" s="147">
        <v>77.7</v>
      </c>
      <c r="V122" s="149">
        <v>15.5</v>
      </c>
      <c r="W122" s="250">
        <v>118</v>
      </c>
      <c r="X122" s="143"/>
      <c r="Y122" s="147">
        <v>69</v>
      </c>
      <c r="Z122" s="149">
        <v>13.8</v>
      </c>
      <c r="AA122" s="250">
        <v>135</v>
      </c>
    </row>
    <row r="123" spans="3:27" ht="12.75">
      <c r="C123" s="245"/>
      <c r="D123" s="192"/>
      <c r="E123" s="150" t="s">
        <v>15</v>
      </c>
      <c r="F123" s="144">
        <v>8.28</v>
      </c>
      <c r="G123" s="132">
        <v>4.13</v>
      </c>
      <c r="H123" s="143">
        <v>1230</v>
      </c>
      <c r="I123" s="144">
        <v>76.7</v>
      </c>
      <c r="J123" s="252">
        <v>19.1</v>
      </c>
      <c r="K123" s="253">
        <v>117</v>
      </c>
      <c r="L123" s="143">
        <v>985</v>
      </c>
      <c r="M123" s="144">
        <v>68</v>
      </c>
      <c r="N123" s="252">
        <v>17</v>
      </c>
      <c r="O123" s="253">
        <v>134</v>
      </c>
      <c r="Q123" s="150" t="s">
        <v>15</v>
      </c>
      <c r="R123" s="248">
        <v>8.28</v>
      </c>
      <c r="S123" s="132">
        <v>4.13</v>
      </c>
      <c r="T123" s="143">
        <v>1230</v>
      </c>
      <c r="U123" s="144">
        <v>76.7</v>
      </c>
      <c r="V123" s="151">
        <v>19.1</v>
      </c>
      <c r="W123" s="253">
        <v>117</v>
      </c>
      <c r="X123" s="143">
        <v>985</v>
      </c>
      <c r="Y123" s="144">
        <v>68</v>
      </c>
      <c r="Z123" s="151">
        <v>17</v>
      </c>
      <c r="AA123" s="253">
        <v>134</v>
      </c>
    </row>
    <row r="124" spans="3:27" ht="12.75">
      <c r="C124" s="48"/>
      <c r="D124" s="192"/>
      <c r="E124" s="143"/>
      <c r="F124" s="147">
        <v>10.35</v>
      </c>
      <c r="G124" s="148">
        <v>6.29</v>
      </c>
      <c r="H124" s="143"/>
      <c r="I124" s="147">
        <v>77.7</v>
      </c>
      <c r="J124" s="249">
        <v>15.5</v>
      </c>
      <c r="K124" s="250">
        <v>118</v>
      </c>
      <c r="L124" s="143"/>
      <c r="M124" s="147">
        <v>69</v>
      </c>
      <c r="N124" s="249">
        <v>13.8</v>
      </c>
      <c r="O124" s="250">
        <v>135</v>
      </c>
      <c r="Q124" s="143"/>
      <c r="R124" s="251">
        <v>6.2</v>
      </c>
      <c r="S124" s="148">
        <v>2.45</v>
      </c>
      <c r="T124" s="143"/>
      <c r="U124" s="147">
        <v>74.5</v>
      </c>
      <c r="V124" s="149">
        <v>24.8</v>
      </c>
      <c r="W124" s="250">
        <v>116</v>
      </c>
      <c r="X124" s="143"/>
      <c r="Y124" s="147">
        <v>66.6</v>
      </c>
      <c r="Z124" s="149">
        <v>22.2</v>
      </c>
      <c r="AA124" s="250">
        <v>133</v>
      </c>
    </row>
    <row r="125" spans="3:27" ht="13.5" thickBot="1">
      <c r="C125" s="48"/>
      <c r="D125" s="192"/>
      <c r="E125" s="137"/>
      <c r="F125" s="152">
        <v>12.42</v>
      </c>
      <c r="G125" s="153">
        <v>8.83</v>
      </c>
      <c r="H125" s="137"/>
      <c r="I125" s="152">
        <v>78.6</v>
      </c>
      <c r="J125" s="254">
        <v>13.1</v>
      </c>
      <c r="K125" s="255">
        <v>119</v>
      </c>
      <c r="L125" s="137"/>
      <c r="M125" s="152">
        <v>69.7</v>
      </c>
      <c r="N125" s="254">
        <v>11.6</v>
      </c>
      <c r="O125" s="255">
        <v>136</v>
      </c>
      <c r="Q125" s="137"/>
      <c r="R125" s="256">
        <v>4.12</v>
      </c>
      <c r="S125" s="153">
        <v>1.21</v>
      </c>
      <c r="T125" s="137"/>
      <c r="U125" s="152">
        <v>71.5</v>
      </c>
      <c r="V125" s="154">
        <v>35.7</v>
      </c>
      <c r="W125" s="255">
        <v>113</v>
      </c>
      <c r="X125" s="137"/>
      <c r="Y125" s="152">
        <v>65.1</v>
      </c>
      <c r="Z125" s="154">
        <v>32.6</v>
      </c>
      <c r="AA125" s="255">
        <v>131</v>
      </c>
    </row>
    <row r="126" spans="3:27" ht="12.75">
      <c r="C126" s="48"/>
      <c r="D126" s="192"/>
      <c r="E126" s="143"/>
      <c r="F126" s="144">
        <v>3.6</v>
      </c>
      <c r="G126" s="132">
        <v>1.03</v>
      </c>
      <c r="H126" s="143"/>
      <c r="I126" s="144">
        <v>71</v>
      </c>
      <c r="J126" s="252">
        <v>40.6</v>
      </c>
      <c r="K126" s="253">
        <v>106</v>
      </c>
      <c r="L126" s="143"/>
      <c r="M126" s="144">
        <v>66.3</v>
      </c>
      <c r="N126" s="252">
        <v>37.9</v>
      </c>
      <c r="O126" s="253">
        <v>114</v>
      </c>
      <c r="Q126" s="143"/>
      <c r="R126" s="248">
        <v>12.4</v>
      </c>
      <c r="S126" s="132">
        <v>9.55</v>
      </c>
      <c r="T126" s="143"/>
      <c r="U126" s="144">
        <v>81.7</v>
      </c>
      <c r="V126" s="151">
        <v>13.6</v>
      </c>
      <c r="W126" s="253">
        <v>113</v>
      </c>
      <c r="X126" s="143"/>
      <c r="Y126" s="144">
        <v>73</v>
      </c>
      <c r="Z126" s="151">
        <v>12.2</v>
      </c>
      <c r="AA126" s="253">
        <v>120</v>
      </c>
    </row>
    <row r="127" spans="3:27" ht="12.75">
      <c r="C127" s="48"/>
      <c r="D127" s="192"/>
      <c r="E127" s="143"/>
      <c r="F127" s="147">
        <v>4.12</v>
      </c>
      <c r="G127" s="148">
        <v>1.31</v>
      </c>
      <c r="H127" s="143"/>
      <c r="I127" s="147">
        <v>74.1</v>
      </c>
      <c r="J127" s="249">
        <v>37</v>
      </c>
      <c r="K127" s="250">
        <v>108</v>
      </c>
      <c r="L127" s="143"/>
      <c r="M127" s="147">
        <v>68.4</v>
      </c>
      <c r="N127" s="249">
        <v>34.2</v>
      </c>
      <c r="O127" s="250">
        <v>116</v>
      </c>
      <c r="Q127" s="143"/>
      <c r="R127" s="251">
        <v>10.33</v>
      </c>
      <c r="S127" s="148">
        <v>6.8</v>
      </c>
      <c r="T127" s="143"/>
      <c r="U127" s="147">
        <v>80.9</v>
      </c>
      <c r="V127" s="149">
        <v>16.2</v>
      </c>
      <c r="W127" s="250">
        <v>113</v>
      </c>
      <c r="X127" s="143"/>
      <c r="Y127" s="147">
        <v>72.5</v>
      </c>
      <c r="Z127" s="149">
        <v>14.5</v>
      </c>
      <c r="AA127" s="250">
        <v>119</v>
      </c>
    </row>
    <row r="128" spans="3:27" ht="12.75">
      <c r="C128" s="245"/>
      <c r="D128" s="192"/>
      <c r="E128" s="150" t="s">
        <v>16</v>
      </c>
      <c r="F128" s="144">
        <v>6.18</v>
      </c>
      <c r="G128" s="132">
        <v>2.66</v>
      </c>
      <c r="H128" s="143">
        <v>1410</v>
      </c>
      <c r="I128" s="144">
        <v>77.6</v>
      </c>
      <c r="J128" s="252">
        <v>25.9</v>
      </c>
      <c r="K128" s="253">
        <v>111</v>
      </c>
      <c r="L128" s="143">
        <v>1130</v>
      </c>
      <c r="M128" s="144">
        <v>69.9</v>
      </c>
      <c r="N128" s="252">
        <v>23.3</v>
      </c>
      <c r="O128" s="253">
        <v>117</v>
      </c>
      <c r="Q128" s="150" t="s">
        <v>16</v>
      </c>
      <c r="R128" s="248">
        <v>6.18</v>
      </c>
      <c r="S128" s="132">
        <v>2.66</v>
      </c>
      <c r="T128" s="143">
        <v>1410</v>
      </c>
      <c r="U128" s="144">
        <v>77.6</v>
      </c>
      <c r="V128" s="151">
        <v>25.9</v>
      </c>
      <c r="W128" s="253">
        <v>111</v>
      </c>
      <c r="X128" s="143">
        <v>1130</v>
      </c>
      <c r="Y128" s="144">
        <v>69.9</v>
      </c>
      <c r="Z128" s="151">
        <v>23.3</v>
      </c>
      <c r="AA128" s="253">
        <v>117</v>
      </c>
    </row>
    <row r="129" spans="3:27" ht="12.75">
      <c r="C129" s="48"/>
      <c r="D129" s="192"/>
      <c r="E129" s="143"/>
      <c r="F129" s="147">
        <v>10.33</v>
      </c>
      <c r="G129" s="148">
        <v>6.8</v>
      </c>
      <c r="H129" s="143"/>
      <c r="I129" s="147">
        <v>80.9</v>
      </c>
      <c r="J129" s="249">
        <v>16.2</v>
      </c>
      <c r="K129" s="250">
        <v>113</v>
      </c>
      <c r="L129" s="143"/>
      <c r="M129" s="147">
        <v>72.5</v>
      </c>
      <c r="N129" s="249">
        <v>14.5</v>
      </c>
      <c r="O129" s="250">
        <v>119</v>
      </c>
      <c r="Q129" s="143"/>
      <c r="R129" s="251">
        <v>4.12</v>
      </c>
      <c r="S129" s="148">
        <v>1.31</v>
      </c>
      <c r="T129" s="143"/>
      <c r="U129" s="147">
        <v>74.1</v>
      </c>
      <c r="V129" s="149">
        <v>37</v>
      </c>
      <c r="W129" s="250">
        <v>108</v>
      </c>
      <c r="X129" s="143"/>
      <c r="Y129" s="147">
        <v>68.4</v>
      </c>
      <c r="Z129" s="149">
        <v>34.2</v>
      </c>
      <c r="AA129" s="250">
        <v>116</v>
      </c>
    </row>
    <row r="130" spans="3:27" ht="13.5" thickBot="1">
      <c r="C130" s="48"/>
      <c r="D130" s="192"/>
      <c r="E130" s="137"/>
      <c r="F130" s="152">
        <v>12.4</v>
      </c>
      <c r="G130" s="153">
        <v>9.55</v>
      </c>
      <c r="H130" s="137"/>
      <c r="I130" s="152">
        <v>81.7</v>
      </c>
      <c r="J130" s="254">
        <v>13.6</v>
      </c>
      <c r="K130" s="255">
        <v>113</v>
      </c>
      <c r="L130" s="137"/>
      <c r="M130" s="152">
        <v>73</v>
      </c>
      <c r="N130" s="254">
        <v>12.2</v>
      </c>
      <c r="O130" s="255">
        <v>120</v>
      </c>
      <c r="Q130" s="137"/>
      <c r="R130" s="256">
        <v>3.6</v>
      </c>
      <c r="S130" s="153">
        <v>1.03</v>
      </c>
      <c r="T130" s="137"/>
      <c r="U130" s="152">
        <v>71</v>
      </c>
      <c r="V130" s="154">
        <v>40.6</v>
      </c>
      <c r="W130" s="255">
        <v>106</v>
      </c>
      <c r="X130" s="137"/>
      <c r="Y130" s="152">
        <v>66.3</v>
      </c>
      <c r="Z130" s="154">
        <v>37.9</v>
      </c>
      <c r="AA130" s="255">
        <v>114</v>
      </c>
    </row>
    <row r="134" ht="13.5" thickBot="1"/>
    <row r="135" spans="5:15" ht="15">
      <c r="E135" s="155" t="s">
        <v>156</v>
      </c>
      <c r="F135" s="156"/>
      <c r="G135" s="156"/>
      <c r="H135" s="156"/>
      <c r="I135" s="156"/>
      <c r="J135" s="156"/>
      <c r="K135" s="156"/>
      <c r="L135" s="156"/>
      <c r="M135" s="156"/>
      <c r="N135" s="156"/>
      <c r="O135" s="157"/>
    </row>
    <row r="136" spans="5:15" ht="15.75" thickBot="1">
      <c r="E136" s="158" t="s">
        <v>157</v>
      </c>
      <c r="F136" s="56"/>
      <c r="G136" s="56"/>
      <c r="H136" s="56"/>
      <c r="I136" s="56"/>
      <c r="J136" s="56"/>
      <c r="K136" s="56"/>
      <c r="L136" s="56"/>
      <c r="M136" s="56"/>
      <c r="N136" s="56"/>
      <c r="O136" s="159"/>
    </row>
    <row r="137" spans="5:27" ht="12.75">
      <c r="E137" s="160" t="s">
        <v>163</v>
      </c>
      <c r="F137" s="161"/>
      <c r="G137" s="161"/>
      <c r="H137" s="161"/>
      <c r="I137" s="161"/>
      <c r="J137" s="161"/>
      <c r="K137" s="161"/>
      <c r="L137" s="161"/>
      <c r="M137" s="161"/>
      <c r="N137" s="161"/>
      <c r="O137" s="162" t="s">
        <v>164</v>
      </c>
      <c r="Q137" s="160" t="s">
        <v>163</v>
      </c>
      <c r="R137" s="161"/>
      <c r="S137" s="161"/>
      <c r="T137" s="161"/>
      <c r="U137" s="161"/>
      <c r="V137" s="161"/>
      <c r="W137" s="161"/>
      <c r="X137" s="161"/>
      <c r="Y137" s="161"/>
      <c r="Z137" s="161"/>
      <c r="AA137" s="162" t="s">
        <v>164</v>
      </c>
    </row>
    <row r="138" spans="5:27" ht="13.5" thickBot="1">
      <c r="E138" s="163"/>
      <c r="F138" s="164"/>
      <c r="G138" s="164"/>
      <c r="H138" s="164"/>
      <c r="I138" s="164"/>
      <c r="J138" s="164"/>
      <c r="K138" s="164"/>
      <c r="L138" s="164"/>
      <c r="M138" s="164"/>
      <c r="N138" s="164"/>
      <c r="O138" s="165" t="s">
        <v>165</v>
      </c>
      <c r="Q138" s="163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5" t="s">
        <v>165</v>
      </c>
    </row>
    <row r="139" spans="5:27" ht="12.75">
      <c r="E139" s="135" t="s">
        <v>0</v>
      </c>
      <c r="F139" s="136"/>
      <c r="G139" s="90" t="s">
        <v>3</v>
      </c>
      <c r="H139" s="416" t="s">
        <v>161</v>
      </c>
      <c r="I139" s="417"/>
      <c r="J139" s="417"/>
      <c r="K139" s="418"/>
      <c r="L139" s="416" t="s">
        <v>162</v>
      </c>
      <c r="M139" s="417"/>
      <c r="N139" s="417"/>
      <c r="O139" s="418"/>
      <c r="Q139" s="135" t="s">
        <v>0</v>
      </c>
      <c r="R139" s="136"/>
      <c r="S139" s="90" t="s">
        <v>3</v>
      </c>
      <c r="T139" s="416" t="s">
        <v>161</v>
      </c>
      <c r="U139" s="417"/>
      <c r="V139" s="417"/>
      <c r="W139" s="418"/>
      <c r="X139" s="416" t="s">
        <v>162</v>
      </c>
      <c r="Y139" s="417"/>
      <c r="Z139" s="417"/>
      <c r="AA139" s="418"/>
    </row>
    <row r="140" spans="5:27" ht="13.5" thickBot="1">
      <c r="E140" s="137" t="s">
        <v>1</v>
      </c>
      <c r="F140" s="138" t="s">
        <v>2</v>
      </c>
      <c r="G140" s="89" t="s">
        <v>4</v>
      </c>
      <c r="H140" s="139" t="s">
        <v>5</v>
      </c>
      <c r="I140" s="140" t="s">
        <v>6</v>
      </c>
      <c r="J140" s="141" t="s">
        <v>7</v>
      </c>
      <c r="K140" s="142" t="s">
        <v>8</v>
      </c>
      <c r="L140" s="139" t="s">
        <v>5</v>
      </c>
      <c r="M140" s="140" t="s">
        <v>6</v>
      </c>
      <c r="N140" s="141" t="s">
        <v>7</v>
      </c>
      <c r="O140" s="142" t="s">
        <v>8</v>
      </c>
      <c r="Q140" s="137" t="s">
        <v>1</v>
      </c>
      <c r="R140" s="138" t="s">
        <v>2</v>
      </c>
      <c r="S140" s="89" t="s">
        <v>4</v>
      </c>
      <c r="T140" s="139" t="s">
        <v>5</v>
      </c>
      <c r="U140" s="140" t="s">
        <v>6</v>
      </c>
      <c r="V140" s="141" t="s">
        <v>7</v>
      </c>
      <c r="W140" s="142" t="s">
        <v>8</v>
      </c>
      <c r="X140" s="139" t="s">
        <v>5</v>
      </c>
      <c r="Y140" s="140" t="s">
        <v>6</v>
      </c>
      <c r="Z140" s="141" t="s">
        <v>7</v>
      </c>
      <c r="AA140" s="142" t="s">
        <v>8</v>
      </c>
    </row>
    <row r="141" spans="5:27" ht="12.75">
      <c r="E141" s="143"/>
      <c r="F141" s="144">
        <v>0.51</v>
      </c>
      <c r="G141" s="132">
        <v>0.02</v>
      </c>
      <c r="H141" s="135"/>
      <c r="I141" s="145">
        <v>17.9</v>
      </c>
      <c r="J141" s="146">
        <v>71.6</v>
      </c>
      <c r="K141" s="247">
        <v>133</v>
      </c>
      <c r="L141" s="135"/>
      <c r="M141" s="145">
        <v>16.5</v>
      </c>
      <c r="N141" s="146">
        <v>66</v>
      </c>
      <c r="O141" s="247">
        <v>144</v>
      </c>
      <c r="Q141" s="143"/>
      <c r="R141" s="144">
        <v>2.58</v>
      </c>
      <c r="S141" s="132">
        <v>0.5</v>
      </c>
      <c r="T141" s="135"/>
      <c r="U141" s="145">
        <v>25.7</v>
      </c>
      <c r="V141" s="146">
        <v>20.6</v>
      </c>
      <c r="W141" s="247">
        <v>165</v>
      </c>
      <c r="X141" s="135"/>
      <c r="Y141" s="145">
        <v>23.5</v>
      </c>
      <c r="Z141" s="146">
        <v>18.8</v>
      </c>
      <c r="AA141" s="247">
        <v>180</v>
      </c>
    </row>
    <row r="142" spans="5:27" ht="12.75">
      <c r="E142" s="143"/>
      <c r="F142" s="147">
        <v>1.03</v>
      </c>
      <c r="G142" s="148">
        <v>0.1</v>
      </c>
      <c r="H142" s="143"/>
      <c r="I142" s="147">
        <v>21.7</v>
      </c>
      <c r="J142" s="149">
        <v>43.4</v>
      </c>
      <c r="K142" s="250">
        <v>149</v>
      </c>
      <c r="L142" s="143"/>
      <c r="M142" s="147">
        <v>19.9</v>
      </c>
      <c r="N142" s="149">
        <v>39.8</v>
      </c>
      <c r="O142" s="250">
        <v>162</v>
      </c>
      <c r="Q142" s="143"/>
      <c r="R142" s="147">
        <v>2.06</v>
      </c>
      <c r="S142" s="148">
        <v>0.34</v>
      </c>
      <c r="T142" s="143"/>
      <c r="U142" s="147">
        <v>24.8</v>
      </c>
      <c r="V142" s="149">
        <v>24.8</v>
      </c>
      <c r="W142" s="250">
        <v>162</v>
      </c>
      <c r="X142" s="143"/>
      <c r="Y142" s="147">
        <v>22.5</v>
      </c>
      <c r="Z142" s="149">
        <v>22.5</v>
      </c>
      <c r="AA142" s="250">
        <v>175</v>
      </c>
    </row>
    <row r="143" spans="5:27" ht="12.75">
      <c r="E143" s="150" t="s">
        <v>9</v>
      </c>
      <c r="F143" s="144">
        <v>1.54</v>
      </c>
      <c r="G143" s="132">
        <v>0.2</v>
      </c>
      <c r="H143" s="143">
        <v>225</v>
      </c>
      <c r="I143" s="144">
        <v>23.3</v>
      </c>
      <c r="J143" s="151">
        <v>31.1</v>
      </c>
      <c r="K143" s="253">
        <v>155</v>
      </c>
      <c r="L143" s="143">
        <v>180</v>
      </c>
      <c r="M143" s="144">
        <v>21.4</v>
      </c>
      <c r="N143" s="151">
        <v>28.5</v>
      </c>
      <c r="O143" s="253">
        <v>170</v>
      </c>
      <c r="Q143" s="150" t="s">
        <v>9</v>
      </c>
      <c r="R143" s="144">
        <v>1.54</v>
      </c>
      <c r="S143" s="132">
        <v>0.2</v>
      </c>
      <c r="T143" s="143">
        <v>225</v>
      </c>
      <c r="U143" s="144">
        <v>23.3</v>
      </c>
      <c r="V143" s="151">
        <v>31.1</v>
      </c>
      <c r="W143" s="253">
        <v>155</v>
      </c>
      <c r="X143" s="143">
        <v>180</v>
      </c>
      <c r="Y143" s="144">
        <v>21.4</v>
      </c>
      <c r="Z143" s="151">
        <v>28.5</v>
      </c>
      <c r="AA143" s="253">
        <v>170</v>
      </c>
    </row>
    <row r="144" spans="5:27" ht="12.75">
      <c r="E144" s="143"/>
      <c r="F144" s="147">
        <v>2.06</v>
      </c>
      <c r="G144" s="148">
        <v>0.34</v>
      </c>
      <c r="H144" s="143"/>
      <c r="I144" s="147">
        <v>24.8</v>
      </c>
      <c r="J144" s="149">
        <v>24.8</v>
      </c>
      <c r="K144" s="250">
        <v>162</v>
      </c>
      <c r="L144" s="143"/>
      <c r="M144" s="147">
        <v>22.5</v>
      </c>
      <c r="N144" s="149">
        <v>22.5</v>
      </c>
      <c r="O144" s="250">
        <v>175</v>
      </c>
      <c r="Q144" s="143"/>
      <c r="R144" s="147">
        <v>1.03</v>
      </c>
      <c r="S144" s="148">
        <v>0.1</v>
      </c>
      <c r="T144" s="143"/>
      <c r="U144" s="147">
        <v>21.7</v>
      </c>
      <c r="V144" s="149">
        <v>43.4</v>
      </c>
      <c r="W144" s="250">
        <v>149</v>
      </c>
      <c r="X144" s="143"/>
      <c r="Y144" s="147">
        <v>19.9</v>
      </c>
      <c r="Z144" s="149">
        <v>39.8</v>
      </c>
      <c r="AA144" s="250">
        <v>162</v>
      </c>
    </row>
    <row r="145" spans="5:27" ht="13.5" thickBot="1">
      <c r="E145" s="137"/>
      <c r="F145" s="152">
        <v>2.58</v>
      </c>
      <c r="G145" s="153">
        <v>0.5</v>
      </c>
      <c r="H145" s="137"/>
      <c r="I145" s="152">
        <v>25.7</v>
      </c>
      <c r="J145" s="154">
        <v>20.6</v>
      </c>
      <c r="K145" s="255">
        <v>165</v>
      </c>
      <c r="L145" s="137"/>
      <c r="M145" s="152">
        <v>23.5</v>
      </c>
      <c r="N145" s="154">
        <v>18.8</v>
      </c>
      <c r="O145" s="255">
        <v>180</v>
      </c>
      <c r="Q145" s="137"/>
      <c r="R145" s="152">
        <v>0.51</v>
      </c>
      <c r="S145" s="153">
        <v>0.02</v>
      </c>
      <c r="T145" s="137"/>
      <c r="U145" s="152">
        <v>17.9</v>
      </c>
      <c r="V145" s="154">
        <v>71.6</v>
      </c>
      <c r="W145" s="255">
        <v>133</v>
      </c>
      <c r="X145" s="137"/>
      <c r="Y145" s="152">
        <v>16.5</v>
      </c>
      <c r="Z145" s="154">
        <v>66</v>
      </c>
      <c r="AA145" s="255">
        <v>144</v>
      </c>
    </row>
    <row r="146" spans="5:27" ht="12.75">
      <c r="E146" s="143"/>
      <c r="F146" s="144">
        <v>1.03</v>
      </c>
      <c r="G146" s="132">
        <v>0.11</v>
      </c>
      <c r="H146" s="135"/>
      <c r="I146" s="145">
        <v>30.1</v>
      </c>
      <c r="J146" s="146">
        <v>60.2</v>
      </c>
      <c r="K146" s="247">
        <v>144</v>
      </c>
      <c r="L146" s="135"/>
      <c r="M146" s="145">
        <v>28.3</v>
      </c>
      <c r="N146" s="146">
        <v>56.6</v>
      </c>
      <c r="O146" s="247">
        <v>158</v>
      </c>
      <c r="Q146" s="143"/>
      <c r="R146" s="144">
        <v>3.09</v>
      </c>
      <c r="S146" s="132">
        <v>0.75</v>
      </c>
      <c r="T146" s="135"/>
      <c r="U146" s="145">
        <v>34.9</v>
      </c>
      <c r="V146" s="146">
        <v>23.3</v>
      </c>
      <c r="W146" s="247">
        <v>157</v>
      </c>
      <c r="X146" s="135"/>
      <c r="Y146" s="145">
        <v>30.8</v>
      </c>
      <c r="Z146" s="146">
        <v>20.5</v>
      </c>
      <c r="AA146" s="247">
        <v>167</v>
      </c>
    </row>
    <row r="147" spans="5:27" ht="12.75">
      <c r="E147" s="143"/>
      <c r="F147" s="147">
        <v>1.54</v>
      </c>
      <c r="G147" s="148">
        <v>0.23</v>
      </c>
      <c r="H147" s="143"/>
      <c r="I147" s="147">
        <v>31.9</v>
      </c>
      <c r="J147" s="149">
        <v>42.5</v>
      </c>
      <c r="K147" s="250">
        <v>149</v>
      </c>
      <c r="L147" s="143"/>
      <c r="M147" s="147">
        <v>28.9</v>
      </c>
      <c r="N147" s="149">
        <v>38.5</v>
      </c>
      <c r="O147" s="250">
        <v>161</v>
      </c>
      <c r="Q147" s="143"/>
      <c r="R147" s="147">
        <v>2.58</v>
      </c>
      <c r="S147" s="148">
        <v>0.56</v>
      </c>
      <c r="T147" s="143"/>
      <c r="U147" s="147">
        <v>34.3</v>
      </c>
      <c r="V147" s="149">
        <v>27.4</v>
      </c>
      <c r="W147" s="250">
        <v>156</v>
      </c>
      <c r="X147" s="143"/>
      <c r="Y147" s="147">
        <v>30.3</v>
      </c>
      <c r="Z147" s="149">
        <v>24.2</v>
      </c>
      <c r="AA147" s="250">
        <v>165</v>
      </c>
    </row>
    <row r="148" spans="5:27" ht="12.75">
      <c r="E148" s="150" t="s">
        <v>10</v>
      </c>
      <c r="F148" s="144">
        <v>2.06</v>
      </c>
      <c r="G148" s="132">
        <v>0.38</v>
      </c>
      <c r="H148" s="143">
        <v>330</v>
      </c>
      <c r="I148" s="144">
        <v>33.1</v>
      </c>
      <c r="J148" s="151">
        <v>33.1</v>
      </c>
      <c r="K148" s="253">
        <v>152</v>
      </c>
      <c r="L148" s="143">
        <v>265</v>
      </c>
      <c r="M148" s="144">
        <v>29.7</v>
      </c>
      <c r="N148" s="151">
        <v>29.7</v>
      </c>
      <c r="O148" s="253">
        <v>163</v>
      </c>
      <c r="Q148" s="150" t="s">
        <v>10</v>
      </c>
      <c r="R148" s="144">
        <v>2.06</v>
      </c>
      <c r="S148" s="132">
        <v>0.38</v>
      </c>
      <c r="T148" s="143">
        <v>330</v>
      </c>
      <c r="U148" s="144">
        <v>33.1</v>
      </c>
      <c r="V148" s="151">
        <v>33.1</v>
      </c>
      <c r="W148" s="253">
        <v>152</v>
      </c>
      <c r="X148" s="143">
        <v>265</v>
      </c>
      <c r="Y148" s="144">
        <v>29.7</v>
      </c>
      <c r="Z148" s="151">
        <v>29.7</v>
      </c>
      <c r="AA148" s="253">
        <v>163</v>
      </c>
    </row>
    <row r="149" spans="5:27" ht="12.75">
      <c r="E149" s="143"/>
      <c r="F149" s="147">
        <v>2.58</v>
      </c>
      <c r="G149" s="148">
        <v>0.56</v>
      </c>
      <c r="H149" s="143"/>
      <c r="I149" s="147">
        <v>34.3</v>
      </c>
      <c r="J149" s="149">
        <v>27.4</v>
      </c>
      <c r="K149" s="250">
        <v>156</v>
      </c>
      <c r="L149" s="143"/>
      <c r="M149" s="147">
        <v>30.3</v>
      </c>
      <c r="N149" s="149">
        <v>24.2</v>
      </c>
      <c r="O149" s="250">
        <v>165</v>
      </c>
      <c r="Q149" s="143"/>
      <c r="R149" s="147">
        <v>1.54</v>
      </c>
      <c r="S149" s="148">
        <v>0.23</v>
      </c>
      <c r="T149" s="143"/>
      <c r="U149" s="147">
        <v>31.9</v>
      </c>
      <c r="V149" s="149">
        <v>42.5</v>
      </c>
      <c r="W149" s="250">
        <v>149</v>
      </c>
      <c r="X149" s="143"/>
      <c r="Y149" s="147">
        <v>28.9</v>
      </c>
      <c r="Z149" s="149">
        <v>38.5</v>
      </c>
      <c r="AA149" s="250">
        <v>161</v>
      </c>
    </row>
    <row r="150" spans="5:27" ht="13.5" thickBot="1">
      <c r="E150" s="137"/>
      <c r="F150" s="152">
        <v>3.09</v>
      </c>
      <c r="G150" s="153">
        <v>0.75</v>
      </c>
      <c r="H150" s="137"/>
      <c r="I150" s="152">
        <v>34.9</v>
      </c>
      <c r="J150" s="154">
        <v>23.3</v>
      </c>
      <c r="K150" s="255">
        <v>157</v>
      </c>
      <c r="L150" s="137"/>
      <c r="M150" s="152">
        <v>30.8</v>
      </c>
      <c r="N150" s="154">
        <v>20.5</v>
      </c>
      <c r="O150" s="255">
        <v>167</v>
      </c>
      <c r="Q150" s="137"/>
      <c r="R150" s="152">
        <v>1.03</v>
      </c>
      <c r="S150" s="153">
        <v>0.11</v>
      </c>
      <c r="T150" s="137"/>
      <c r="U150" s="152">
        <v>30.1</v>
      </c>
      <c r="V150" s="154">
        <v>60.2</v>
      </c>
      <c r="W150" s="255">
        <v>144</v>
      </c>
      <c r="X150" s="137"/>
      <c r="Y150" s="152">
        <v>28.3</v>
      </c>
      <c r="Z150" s="154">
        <v>56.6</v>
      </c>
      <c r="AA150" s="255">
        <v>158</v>
      </c>
    </row>
    <row r="151" spans="5:27" ht="12.75">
      <c r="E151" s="143"/>
      <c r="F151" s="144">
        <v>1.02</v>
      </c>
      <c r="G151" s="132">
        <v>0.11</v>
      </c>
      <c r="H151" s="135"/>
      <c r="I151" s="145">
        <v>31.5</v>
      </c>
      <c r="J151" s="146">
        <v>63</v>
      </c>
      <c r="K151" s="247">
        <v>129</v>
      </c>
      <c r="L151" s="135"/>
      <c r="M151" s="145">
        <v>29.5</v>
      </c>
      <c r="N151" s="146">
        <v>59</v>
      </c>
      <c r="O151" s="247">
        <v>141</v>
      </c>
      <c r="Q151" s="143"/>
      <c r="R151" s="144">
        <v>5.17</v>
      </c>
      <c r="S151" s="132">
        <v>1.94</v>
      </c>
      <c r="T151" s="135"/>
      <c r="U151" s="145">
        <v>46.8</v>
      </c>
      <c r="V151" s="146">
        <v>18.7</v>
      </c>
      <c r="W151" s="247">
        <v>163</v>
      </c>
      <c r="X151" s="135"/>
      <c r="Y151" s="145">
        <v>40.8</v>
      </c>
      <c r="Z151" s="146">
        <v>16.3</v>
      </c>
      <c r="AA151" s="247">
        <v>172</v>
      </c>
    </row>
    <row r="152" spans="5:27" ht="12.75">
      <c r="E152" s="143"/>
      <c r="F152" s="147">
        <v>2.06</v>
      </c>
      <c r="G152" s="148">
        <v>0.41</v>
      </c>
      <c r="H152" s="143"/>
      <c r="I152" s="147">
        <v>39.5</v>
      </c>
      <c r="J152" s="149">
        <v>39.5</v>
      </c>
      <c r="K152" s="250">
        <v>147</v>
      </c>
      <c r="L152" s="143"/>
      <c r="M152" s="147">
        <v>35.8</v>
      </c>
      <c r="N152" s="149">
        <v>35.8</v>
      </c>
      <c r="O152" s="250">
        <v>158</v>
      </c>
      <c r="Q152" s="143"/>
      <c r="R152" s="147">
        <v>4.13</v>
      </c>
      <c r="S152" s="148">
        <v>1.3</v>
      </c>
      <c r="T152" s="143"/>
      <c r="U152" s="147">
        <v>45.4</v>
      </c>
      <c r="V152" s="149">
        <v>22.7</v>
      </c>
      <c r="W152" s="250">
        <v>160</v>
      </c>
      <c r="X152" s="143"/>
      <c r="Y152" s="147">
        <v>39.7</v>
      </c>
      <c r="Z152" s="149">
        <v>19.9</v>
      </c>
      <c r="AA152" s="250">
        <v>169</v>
      </c>
    </row>
    <row r="153" spans="5:27" ht="12.75">
      <c r="E153" s="150" t="s">
        <v>11</v>
      </c>
      <c r="F153" s="144">
        <v>2.58</v>
      </c>
      <c r="G153" s="132">
        <v>0.6</v>
      </c>
      <c r="H153" s="143">
        <v>420</v>
      </c>
      <c r="I153" s="144">
        <v>42.4</v>
      </c>
      <c r="J153" s="151">
        <v>33.9</v>
      </c>
      <c r="K153" s="253">
        <v>153</v>
      </c>
      <c r="L153" s="143">
        <v>335</v>
      </c>
      <c r="M153" s="144">
        <v>37.8</v>
      </c>
      <c r="N153" s="151">
        <v>30.2</v>
      </c>
      <c r="O153" s="253">
        <v>164</v>
      </c>
      <c r="Q153" s="150" t="s">
        <v>11</v>
      </c>
      <c r="R153" s="144">
        <v>2.58</v>
      </c>
      <c r="S153" s="132">
        <v>0.6</v>
      </c>
      <c r="T153" s="143">
        <v>420</v>
      </c>
      <c r="U153" s="144">
        <v>42.4</v>
      </c>
      <c r="V153" s="151">
        <v>33.9</v>
      </c>
      <c r="W153" s="253">
        <v>153</v>
      </c>
      <c r="X153" s="143">
        <v>335</v>
      </c>
      <c r="Y153" s="144">
        <v>37.8</v>
      </c>
      <c r="Z153" s="151">
        <v>30.2</v>
      </c>
      <c r="AA153" s="253">
        <v>164</v>
      </c>
    </row>
    <row r="154" spans="5:27" ht="12.75">
      <c r="E154" s="143"/>
      <c r="F154" s="147">
        <v>4.13</v>
      </c>
      <c r="G154" s="148">
        <v>1.3</v>
      </c>
      <c r="H154" s="143"/>
      <c r="I154" s="147">
        <v>45.4</v>
      </c>
      <c r="J154" s="149">
        <v>22.7</v>
      </c>
      <c r="K154" s="250">
        <v>160</v>
      </c>
      <c r="L154" s="143"/>
      <c r="M154" s="147">
        <v>39.7</v>
      </c>
      <c r="N154" s="149">
        <v>19.9</v>
      </c>
      <c r="O154" s="250">
        <v>169</v>
      </c>
      <c r="Q154" s="143"/>
      <c r="R154" s="147">
        <v>2.06</v>
      </c>
      <c r="S154" s="148">
        <v>0.41</v>
      </c>
      <c r="T154" s="143"/>
      <c r="U154" s="147">
        <v>39.5</v>
      </c>
      <c r="V154" s="149">
        <v>39.5</v>
      </c>
      <c r="W154" s="250">
        <v>147</v>
      </c>
      <c r="X154" s="143"/>
      <c r="Y154" s="147">
        <v>35.8</v>
      </c>
      <c r="Z154" s="149">
        <v>35.8</v>
      </c>
      <c r="AA154" s="250">
        <v>158</v>
      </c>
    </row>
    <row r="155" spans="5:27" ht="13.5" thickBot="1">
      <c r="E155" s="137"/>
      <c r="F155" s="152">
        <v>5.17</v>
      </c>
      <c r="G155" s="153">
        <v>1.94</v>
      </c>
      <c r="H155" s="137"/>
      <c r="I155" s="152">
        <v>46.8</v>
      </c>
      <c r="J155" s="154">
        <v>18.7</v>
      </c>
      <c r="K155" s="255">
        <v>163</v>
      </c>
      <c r="L155" s="137"/>
      <c r="M155" s="152">
        <v>40.8</v>
      </c>
      <c r="N155" s="154">
        <v>16.3</v>
      </c>
      <c r="O155" s="255">
        <v>172</v>
      </c>
      <c r="Q155" s="137"/>
      <c r="R155" s="152">
        <v>1.02</v>
      </c>
      <c r="S155" s="153">
        <v>0.11</v>
      </c>
      <c r="T155" s="137"/>
      <c r="U155" s="152">
        <v>31.5</v>
      </c>
      <c r="V155" s="154">
        <v>63</v>
      </c>
      <c r="W155" s="255">
        <v>129</v>
      </c>
      <c r="X155" s="137"/>
      <c r="Y155" s="152">
        <v>29.5</v>
      </c>
      <c r="Z155" s="154">
        <v>59</v>
      </c>
      <c r="AA155" s="255">
        <v>141</v>
      </c>
    </row>
    <row r="156" spans="5:27" ht="12.75">
      <c r="E156" s="143"/>
      <c r="F156" s="144">
        <v>2.05</v>
      </c>
      <c r="G156" s="132">
        <v>0.49</v>
      </c>
      <c r="H156" s="135"/>
      <c r="I156" s="145">
        <v>57.6</v>
      </c>
      <c r="J156" s="146">
        <v>57.6</v>
      </c>
      <c r="K156" s="247">
        <v>146</v>
      </c>
      <c r="L156" s="135"/>
      <c r="M156" s="145">
        <v>52.7</v>
      </c>
      <c r="N156" s="146">
        <v>52.7</v>
      </c>
      <c r="O156" s="247">
        <v>158</v>
      </c>
      <c r="Q156" s="143"/>
      <c r="R156" s="144">
        <v>6.19</v>
      </c>
      <c r="S156" s="132">
        <v>3.16</v>
      </c>
      <c r="T156" s="135"/>
      <c r="U156" s="145">
        <v>69.5</v>
      </c>
      <c r="V156" s="146">
        <v>23.2</v>
      </c>
      <c r="W156" s="247">
        <v>164</v>
      </c>
      <c r="X156" s="135"/>
      <c r="Y156" s="145">
        <v>62</v>
      </c>
      <c r="Z156" s="146">
        <v>20.7</v>
      </c>
      <c r="AA156" s="247">
        <v>175</v>
      </c>
    </row>
    <row r="157" spans="5:27" ht="12.75">
      <c r="E157" s="143"/>
      <c r="F157" s="147">
        <v>3.08</v>
      </c>
      <c r="G157" s="148">
        <v>0.97</v>
      </c>
      <c r="H157" s="143"/>
      <c r="I157" s="147">
        <v>63.1</v>
      </c>
      <c r="J157" s="149">
        <v>42.1</v>
      </c>
      <c r="K157" s="250">
        <v>154</v>
      </c>
      <c r="L157" s="143"/>
      <c r="M157" s="147">
        <v>57</v>
      </c>
      <c r="N157" s="149">
        <v>38</v>
      </c>
      <c r="O157" s="250">
        <v>166</v>
      </c>
      <c r="Q157" s="143"/>
      <c r="R157" s="147">
        <v>5.16</v>
      </c>
      <c r="S157" s="148">
        <v>2.32</v>
      </c>
      <c r="T157" s="143"/>
      <c r="U157" s="147">
        <v>69.1</v>
      </c>
      <c r="V157" s="149">
        <v>27.6</v>
      </c>
      <c r="W157" s="250">
        <v>163</v>
      </c>
      <c r="X157" s="143"/>
      <c r="Y157" s="147">
        <v>61.2</v>
      </c>
      <c r="Z157" s="149">
        <v>24.5</v>
      </c>
      <c r="AA157" s="250">
        <v>174</v>
      </c>
    </row>
    <row r="158" spans="5:27" ht="12.75">
      <c r="E158" s="150" t="s">
        <v>12</v>
      </c>
      <c r="F158" s="144">
        <v>4.12</v>
      </c>
      <c r="G158" s="132">
        <v>1.56</v>
      </c>
      <c r="H158" s="143">
        <v>620</v>
      </c>
      <c r="I158" s="144">
        <v>66</v>
      </c>
      <c r="J158" s="151">
        <v>33</v>
      </c>
      <c r="K158" s="253">
        <v>158</v>
      </c>
      <c r="L158" s="143">
        <v>495</v>
      </c>
      <c r="M158" s="144">
        <v>59.7</v>
      </c>
      <c r="N158" s="151">
        <v>29.9</v>
      </c>
      <c r="O158" s="253">
        <v>171</v>
      </c>
      <c r="Q158" s="150" t="s">
        <v>12</v>
      </c>
      <c r="R158" s="144">
        <v>4.12</v>
      </c>
      <c r="S158" s="132">
        <v>1.56</v>
      </c>
      <c r="T158" s="143">
        <v>620</v>
      </c>
      <c r="U158" s="144">
        <v>66</v>
      </c>
      <c r="V158" s="151">
        <v>33</v>
      </c>
      <c r="W158" s="253">
        <v>158</v>
      </c>
      <c r="X158" s="143">
        <v>495</v>
      </c>
      <c r="Y158" s="144">
        <v>59.7</v>
      </c>
      <c r="Z158" s="151">
        <v>29.9</v>
      </c>
      <c r="AA158" s="253">
        <v>171</v>
      </c>
    </row>
    <row r="159" spans="5:27" ht="12.75">
      <c r="E159" s="143"/>
      <c r="F159" s="147">
        <v>5.16</v>
      </c>
      <c r="G159" s="148">
        <v>2.32</v>
      </c>
      <c r="H159" s="143"/>
      <c r="I159" s="147">
        <v>69.1</v>
      </c>
      <c r="J159" s="149">
        <v>27.6</v>
      </c>
      <c r="K159" s="250">
        <v>163</v>
      </c>
      <c r="L159" s="143"/>
      <c r="M159" s="147">
        <v>61.2</v>
      </c>
      <c r="N159" s="149">
        <v>24.5</v>
      </c>
      <c r="O159" s="250">
        <v>174</v>
      </c>
      <c r="Q159" s="143"/>
      <c r="R159" s="147">
        <v>3.08</v>
      </c>
      <c r="S159" s="148">
        <v>0.97</v>
      </c>
      <c r="T159" s="143"/>
      <c r="U159" s="147">
        <v>63.1</v>
      </c>
      <c r="V159" s="149">
        <v>42.1</v>
      </c>
      <c r="W159" s="250">
        <v>154</v>
      </c>
      <c r="X159" s="143"/>
      <c r="Y159" s="147">
        <v>57</v>
      </c>
      <c r="Z159" s="149">
        <v>38</v>
      </c>
      <c r="AA159" s="250">
        <v>166</v>
      </c>
    </row>
    <row r="160" spans="5:27" ht="13.5" thickBot="1">
      <c r="E160" s="137"/>
      <c r="F160" s="152">
        <v>6.19</v>
      </c>
      <c r="G160" s="153">
        <v>3.16</v>
      </c>
      <c r="H160" s="137"/>
      <c r="I160" s="152">
        <v>69.5</v>
      </c>
      <c r="J160" s="154">
        <v>23.2</v>
      </c>
      <c r="K160" s="255">
        <v>164</v>
      </c>
      <c r="L160" s="137"/>
      <c r="M160" s="152">
        <v>62</v>
      </c>
      <c r="N160" s="154">
        <v>20.7</v>
      </c>
      <c r="O160" s="255">
        <v>175</v>
      </c>
      <c r="Q160" s="137"/>
      <c r="R160" s="152">
        <v>2.05</v>
      </c>
      <c r="S160" s="153">
        <v>0.49</v>
      </c>
      <c r="T160" s="137"/>
      <c r="U160" s="152">
        <v>57.6</v>
      </c>
      <c r="V160" s="154">
        <v>57.6</v>
      </c>
      <c r="W160" s="255">
        <v>146</v>
      </c>
      <c r="X160" s="137"/>
      <c r="Y160" s="152">
        <v>52.7</v>
      </c>
      <c r="Z160" s="154">
        <v>52.7</v>
      </c>
      <c r="AA160" s="255">
        <v>158</v>
      </c>
    </row>
    <row r="161" spans="5:27" ht="12.75">
      <c r="E161" s="143"/>
      <c r="F161" s="144">
        <v>2.05</v>
      </c>
      <c r="G161" s="132">
        <v>0.51</v>
      </c>
      <c r="H161" s="135"/>
      <c r="I161" s="145">
        <v>67.1</v>
      </c>
      <c r="J161" s="146">
        <v>67.1</v>
      </c>
      <c r="K161" s="247">
        <v>133</v>
      </c>
      <c r="L161" s="135"/>
      <c r="M161" s="145">
        <v>58.1</v>
      </c>
      <c r="N161" s="146">
        <v>58.1</v>
      </c>
      <c r="O161" s="247">
        <v>139</v>
      </c>
      <c r="Q161" s="143"/>
      <c r="R161" s="144">
        <v>8.25</v>
      </c>
      <c r="S161" s="132">
        <v>5.57</v>
      </c>
      <c r="T161" s="135"/>
      <c r="U161" s="145">
        <v>86.5</v>
      </c>
      <c r="V161" s="146">
        <v>21.6</v>
      </c>
      <c r="W161" s="247">
        <v>154</v>
      </c>
      <c r="X161" s="135"/>
      <c r="Y161" s="145">
        <v>75.8</v>
      </c>
      <c r="Z161" s="146">
        <v>19</v>
      </c>
      <c r="AA161" s="247">
        <v>163</v>
      </c>
    </row>
    <row r="162" spans="5:27" ht="12.75">
      <c r="E162" s="143"/>
      <c r="F162" s="147">
        <v>3.08</v>
      </c>
      <c r="G162" s="148">
        <v>1.02</v>
      </c>
      <c r="H162" s="143"/>
      <c r="I162" s="147">
        <v>75.8</v>
      </c>
      <c r="J162" s="149">
        <v>50.5</v>
      </c>
      <c r="K162" s="250">
        <v>143</v>
      </c>
      <c r="L162" s="143"/>
      <c r="M162" s="147">
        <v>68.2</v>
      </c>
      <c r="N162" s="149">
        <v>45.5</v>
      </c>
      <c r="O162" s="250">
        <v>153</v>
      </c>
      <c r="Q162" s="143"/>
      <c r="R162" s="147">
        <v>6.19</v>
      </c>
      <c r="S162" s="148">
        <v>3.33</v>
      </c>
      <c r="T162" s="143"/>
      <c r="U162" s="147">
        <v>82.6</v>
      </c>
      <c r="V162" s="149">
        <v>27.5</v>
      </c>
      <c r="W162" s="250">
        <v>150</v>
      </c>
      <c r="X162" s="143"/>
      <c r="Y162" s="147">
        <v>73.4</v>
      </c>
      <c r="Z162" s="149">
        <v>24.5</v>
      </c>
      <c r="AA162" s="250">
        <v>160</v>
      </c>
    </row>
    <row r="163" spans="5:27" ht="12.75">
      <c r="E163" s="150" t="s">
        <v>13</v>
      </c>
      <c r="F163" s="144">
        <v>4.11</v>
      </c>
      <c r="G163" s="132">
        <v>1.64</v>
      </c>
      <c r="H163" s="143">
        <v>845</v>
      </c>
      <c r="I163" s="144">
        <v>79.3</v>
      </c>
      <c r="J163" s="151">
        <v>39.7</v>
      </c>
      <c r="K163" s="253">
        <v>146</v>
      </c>
      <c r="L163" s="143">
        <v>675</v>
      </c>
      <c r="M163" s="144">
        <v>71.6</v>
      </c>
      <c r="N163" s="151">
        <v>35.8</v>
      </c>
      <c r="O163" s="253">
        <v>158</v>
      </c>
      <c r="Q163" s="150" t="s">
        <v>13</v>
      </c>
      <c r="R163" s="144">
        <v>4.11</v>
      </c>
      <c r="S163" s="132">
        <v>1.64</v>
      </c>
      <c r="T163" s="143">
        <v>845</v>
      </c>
      <c r="U163" s="144">
        <v>79.3</v>
      </c>
      <c r="V163" s="151">
        <v>39.7</v>
      </c>
      <c r="W163" s="253">
        <v>146</v>
      </c>
      <c r="X163" s="143">
        <v>675</v>
      </c>
      <c r="Y163" s="144">
        <v>71.6</v>
      </c>
      <c r="Z163" s="151">
        <v>35.8</v>
      </c>
      <c r="AA163" s="253">
        <v>158</v>
      </c>
    </row>
    <row r="164" spans="5:27" ht="12.75">
      <c r="E164" s="143"/>
      <c r="F164" s="147">
        <v>6.19</v>
      </c>
      <c r="G164" s="148">
        <v>3.33</v>
      </c>
      <c r="H164" s="143"/>
      <c r="I164" s="147">
        <v>82.6</v>
      </c>
      <c r="J164" s="149">
        <v>27.5</v>
      </c>
      <c r="K164" s="250">
        <v>150</v>
      </c>
      <c r="L164" s="143"/>
      <c r="M164" s="147">
        <v>73.4</v>
      </c>
      <c r="N164" s="149">
        <v>24.5</v>
      </c>
      <c r="O164" s="250">
        <v>160</v>
      </c>
      <c r="Q164" s="143"/>
      <c r="R164" s="147">
        <v>3.08</v>
      </c>
      <c r="S164" s="148">
        <v>1.02</v>
      </c>
      <c r="T164" s="143"/>
      <c r="U164" s="147">
        <v>75.8</v>
      </c>
      <c r="V164" s="149">
        <v>50.5</v>
      </c>
      <c r="W164" s="250">
        <v>143</v>
      </c>
      <c r="X164" s="143"/>
      <c r="Y164" s="147">
        <v>68.2</v>
      </c>
      <c r="Z164" s="149">
        <v>45.5</v>
      </c>
      <c r="AA164" s="250">
        <v>153</v>
      </c>
    </row>
    <row r="165" spans="5:27" ht="13.5" thickBot="1">
      <c r="E165" s="137"/>
      <c r="F165" s="152">
        <v>8.25</v>
      </c>
      <c r="G165" s="153">
        <v>5.57</v>
      </c>
      <c r="H165" s="137"/>
      <c r="I165" s="152">
        <v>86.5</v>
      </c>
      <c r="J165" s="154">
        <v>21.6</v>
      </c>
      <c r="K165" s="255">
        <v>154</v>
      </c>
      <c r="L165" s="137"/>
      <c r="M165" s="152">
        <v>75.8</v>
      </c>
      <c r="N165" s="154">
        <v>19</v>
      </c>
      <c r="O165" s="255">
        <v>163</v>
      </c>
      <c r="Q165" s="137"/>
      <c r="R165" s="152">
        <v>2.05</v>
      </c>
      <c r="S165" s="153">
        <v>0.51</v>
      </c>
      <c r="T165" s="137"/>
      <c r="U165" s="152">
        <v>67.1</v>
      </c>
      <c r="V165" s="154">
        <v>67.1</v>
      </c>
      <c r="W165" s="255">
        <v>133</v>
      </c>
      <c r="X165" s="137"/>
      <c r="Y165" s="152">
        <v>58.1</v>
      </c>
      <c r="Z165" s="154">
        <v>58.1</v>
      </c>
      <c r="AA165" s="255">
        <v>139</v>
      </c>
    </row>
    <row r="166" spans="5:27" ht="12.75">
      <c r="E166" s="143"/>
      <c r="F166" s="144">
        <v>3.08</v>
      </c>
      <c r="G166" s="132">
        <v>1.06</v>
      </c>
      <c r="H166" s="135"/>
      <c r="I166" s="145">
        <v>84.6</v>
      </c>
      <c r="J166" s="146">
        <v>56.4</v>
      </c>
      <c r="K166" s="247">
        <v>135</v>
      </c>
      <c r="L166" s="135"/>
      <c r="M166" s="145">
        <v>75.9</v>
      </c>
      <c r="N166" s="146">
        <v>50.6</v>
      </c>
      <c r="O166" s="247">
        <v>144</v>
      </c>
      <c r="Q166" s="143"/>
      <c r="R166" s="144">
        <v>10.33</v>
      </c>
      <c r="S166" s="132">
        <v>8.84</v>
      </c>
      <c r="T166" s="135"/>
      <c r="U166" s="145">
        <v>101.6</v>
      </c>
      <c r="V166" s="146">
        <v>20.3</v>
      </c>
      <c r="W166" s="247">
        <v>150</v>
      </c>
      <c r="X166" s="135"/>
      <c r="Y166" s="145">
        <v>88.9</v>
      </c>
      <c r="Z166" s="146">
        <v>17.8</v>
      </c>
      <c r="AA166" s="247">
        <v>159</v>
      </c>
    </row>
    <row r="167" spans="5:27" ht="12.75">
      <c r="E167" s="143"/>
      <c r="F167" s="147">
        <v>4.11</v>
      </c>
      <c r="G167" s="148">
        <v>1.7</v>
      </c>
      <c r="H167" s="143"/>
      <c r="I167" s="147">
        <v>90.6</v>
      </c>
      <c r="J167" s="149">
        <v>45.3</v>
      </c>
      <c r="K167" s="250">
        <v>140</v>
      </c>
      <c r="L167" s="143"/>
      <c r="M167" s="147">
        <v>81.2</v>
      </c>
      <c r="N167" s="149">
        <v>40.6</v>
      </c>
      <c r="O167" s="250">
        <v>150</v>
      </c>
      <c r="Q167" s="143"/>
      <c r="R167" s="147">
        <v>8.24</v>
      </c>
      <c r="S167" s="148">
        <v>5.76</v>
      </c>
      <c r="T167" s="143"/>
      <c r="U167" s="147">
        <v>98.6</v>
      </c>
      <c r="V167" s="149">
        <v>24.7</v>
      </c>
      <c r="W167" s="250">
        <v>147</v>
      </c>
      <c r="X167" s="143"/>
      <c r="Y167" s="147">
        <v>86.3</v>
      </c>
      <c r="Z167" s="149">
        <v>21.6</v>
      </c>
      <c r="AA167" s="250">
        <v>156</v>
      </c>
    </row>
    <row r="168" spans="5:27" ht="12.75">
      <c r="E168" s="150" t="s">
        <v>14</v>
      </c>
      <c r="F168" s="144">
        <v>6.19</v>
      </c>
      <c r="G168" s="132">
        <v>3.46</v>
      </c>
      <c r="H168" s="143">
        <v>1040</v>
      </c>
      <c r="I168" s="144">
        <v>94.6</v>
      </c>
      <c r="J168" s="151">
        <v>31.5</v>
      </c>
      <c r="K168" s="253">
        <v>144</v>
      </c>
      <c r="L168" s="143">
        <v>830</v>
      </c>
      <c r="M168" s="144">
        <v>84</v>
      </c>
      <c r="N168" s="151">
        <v>28</v>
      </c>
      <c r="O168" s="253">
        <v>153</v>
      </c>
      <c r="Q168" s="150" t="s">
        <v>14</v>
      </c>
      <c r="R168" s="144">
        <v>6.19</v>
      </c>
      <c r="S168" s="132">
        <v>3.47</v>
      </c>
      <c r="T168" s="143">
        <v>1040</v>
      </c>
      <c r="U168" s="144">
        <v>94.6</v>
      </c>
      <c r="V168" s="151">
        <v>31.5</v>
      </c>
      <c r="W168" s="253">
        <v>144</v>
      </c>
      <c r="X168" s="143">
        <v>830</v>
      </c>
      <c r="Y168" s="144">
        <v>84</v>
      </c>
      <c r="Z168" s="151">
        <v>28</v>
      </c>
      <c r="AA168" s="253">
        <v>153</v>
      </c>
    </row>
    <row r="169" spans="5:27" ht="12.75">
      <c r="E169" s="143"/>
      <c r="F169" s="147">
        <v>8.24</v>
      </c>
      <c r="G169" s="148">
        <v>5.76</v>
      </c>
      <c r="H169" s="143"/>
      <c r="I169" s="147">
        <v>98.6</v>
      </c>
      <c r="J169" s="149">
        <v>24.7</v>
      </c>
      <c r="K169" s="250">
        <v>147</v>
      </c>
      <c r="L169" s="143"/>
      <c r="M169" s="147">
        <v>86.3</v>
      </c>
      <c r="N169" s="149">
        <v>21.6</v>
      </c>
      <c r="O169" s="250">
        <v>156</v>
      </c>
      <c r="Q169" s="143"/>
      <c r="R169" s="147">
        <v>4.11</v>
      </c>
      <c r="S169" s="148">
        <v>1.7</v>
      </c>
      <c r="T169" s="143"/>
      <c r="U169" s="147">
        <v>90.6</v>
      </c>
      <c r="V169" s="149">
        <v>45.3</v>
      </c>
      <c r="W169" s="250">
        <v>140</v>
      </c>
      <c r="X169" s="143"/>
      <c r="Y169" s="147">
        <v>81.2</v>
      </c>
      <c r="Z169" s="149">
        <v>40.6</v>
      </c>
      <c r="AA169" s="250">
        <v>150</v>
      </c>
    </row>
    <row r="170" spans="5:27" ht="13.5" thickBot="1">
      <c r="E170" s="137"/>
      <c r="F170" s="152">
        <v>10.33</v>
      </c>
      <c r="G170" s="153">
        <v>8.84</v>
      </c>
      <c r="H170" s="137"/>
      <c r="I170" s="152">
        <v>101.6</v>
      </c>
      <c r="J170" s="154">
        <v>20.3</v>
      </c>
      <c r="K170" s="255">
        <v>150</v>
      </c>
      <c r="L170" s="137"/>
      <c r="M170" s="152">
        <v>88.9</v>
      </c>
      <c r="N170" s="154">
        <v>17.8</v>
      </c>
      <c r="O170" s="255">
        <v>159</v>
      </c>
      <c r="Q170" s="137"/>
      <c r="R170" s="152">
        <v>3.08</v>
      </c>
      <c r="S170" s="153">
        <v>1.06</v>
      </c>
      <c r="T170" s="137"/>
      <c r="U170" s="152">
        <v>84.6</v>
      </c>
      <c r="V170" s="154">
        <v>56.4</v>
      </c>
      <c r="W170" s="255">
        <v>135</v>
      </c>
      <c r="X170" s="137"/>
      <c r="Y170" s="152">
        <v>75.9</v>
      </c>
      <c r="Z170" s="154">
        <v>50.6</v>
      </c>
      <c r="AA170" s="255">
        <v>144</v>
      </c>
    </row>
    <row r="171" spans="5:27" ht="12.75">
      <c r="E171" s="143"/>
      <c r="F171" s="144">
        <v>4.1</v>
      </c>
      <c r="G171" s="132">
        <v>1.82</v>
      </c>
      <c r="H171" s="135"/>
      <c r="I171" s="145">
        <v>105.3</v>
      </c>
      <c r="J171" s="146">
        <v>52.7</v>
      </c>
      <c r="K171" s="247">
        <v>140</v>
      </c>
      <c r="L171" s="135"/>
      <c r="M171" s="145">
        <v>93.3</v>
      </c>
      <c r="N171" s="146">
        <v>46.7</v>
      </c>
      <c r="O171" s="247">
        <v>149</v>
      </c>
      <c r="Q171" s="143"/>
      <c r="R171" s="144">
        <v>12.37</v>
      </c>
      <c r="S171" s="132">
        <v>13.21</v>
      </c>
      <c r="T171" s="135"/>
      <c r="U171" s="145">
        <v>119.8</v>
      </c>
      <c r="V171" s="146">
        <v>20</v>
      </c>
      <c r="W171" s="247">
        <v>151</v>
      </c>
      <c r="X171" s="135"/>
      <c r="Y171" s="145">
        <v>106.7</v>
      </c>
      <c r="Z171" s="146">
        <v>17.8</v>
      </c>
      <c r="AA171" s="247">
        <v>161</v>
      </c>
    </row>
    <row r="172" spans="5:27" ht="12.75">
      <c r="E172" s="143"/>
      <c r="F172" s="147">
        <v>6.18</v>
      </c>
      <c r="G172" s="148">
        <v>3.71</v>
      </c>
      <c r="H172" s="143"/>
      <c r="I172" s="147">
        <v>111.6</v>
      </c>
      <c r="J172" s="149">
        <v>37.2</v>
      </c>
      <c r="K172" s="250">
        <v>145</v>
      </c>
      <c r="L172" s="143"/>
      <c r="M172" s="147">
        <v>100.4</v>
      </c>
      <c r="N172" s="149">
        <v>33.5</v>
      </c>
      <c r="O172" s="250">
        <v>155</v>
      </c>
      <c r="Q172" s="143"/>
      <c r="R172" s="147">
        <v>10.33</v>
      </c>
      <c r="S172" s="148">
        <v>9.43</v>
      </c>
      <c r="T172" s="143"/>
      <c r="U172" s="147">
        <v>118.1</v>
      </c>
      <c r="V172" s="149">
        <v>23.6</v>
      </c>
      <c r="W172" s="250">
        <v>150</v>
      </c>
      <c r="X172" s="143"/>
      <c r="Y172" s="147">
        <v>105</v>
      </c>
      <c r="Z172" s="149">
        <v>21</v>
      </c>
      <c r="AA172" s="250">
        <v>160</v>
      </c>
    </row>
    <row r="173" spans="5:27" ht="12.75">
      <c r="E173" s="150" t="s">
        <v>15</v>
      </c>
      <c r="F173" s="144">
        <v>8.25</v>
      </c>
      <c r="G173" s="132">
        <v>6.18</v>
      </c>
      <c r="H173" s="143">
        <v>1210</v>
      </c>
      <c r="I173" s="144">
        <v>115.3</v>
      </c>
      <c r="J173" s="151">
        <v>28.8</v>
      </c>
      <c r="K173" s="253">
        <v>148</v>
      </c>
      <c r="L173" s="143">
        <v>970</v>
      </c>
      <c r="M173" s="144">
        <v>102.8</v>
      </c>
      <c r="N173" s="151">
        <v>25.7</v>
      </c>
      <c r="O173" s="253">
        <v>158</v>
      </c>
      <c r="Q173" s="150" t="s">
        <v>15</v>
      </c>
      <c r="R173" s="144">
        <v>8.26</v>
      </c>
      <c r="S173" s="132">
        <v>6.18</v>
      </c>
      <c r="T173" s="143">
        <v>1210</v>
      </c>
      <c r="U173" s="144">
        <v>115.3</v>
      </c>
      <c r="V173" s="151">
        <v>28.8</v>
      </c>
      <c r="W173" s="253">
        <v>148</v>
      </c>
      <c r="X173" s="143">
        <v>970</v>
      </c>
      <c r="Y173" s="144">
        <v>102.8</v>
      </c>
      <c r="Z173" s="151">
        <v>25.7</v>
      </c>
      <c r="AA173" s="253">
        <v>158</v>
      </c>
    </row>
    <row r="174" spans="5:27" ht="12.75">
      <c r="E174" s="143"/>
      <c r="F174" s="147">
        <v>10.33</v>
      </c>
      <c r="G174" s="148">
        <v>9.43</v>
      </c>
      <c r="H174" s="143"/>
      <c r="I174" s="147">
        <v>118.1</v>
      </c>
      <c r="J174" s="149">
        <v>23.6</v>
      </c>
      <c r="K174" s="250">
        <v>150</v>
      </c>
      <c r="L174" s="143"/>
      <c r="M174" s="147">
        <v>105</v>
      </c>
      <c r="N174" s="149">
        <v>21</v>
      </c>
      <c r="O174" s="250">
        <v>160</v>
      </c>
      <c r="Q174" s="143"/>
      <c r="R174" s="147">
        <v>6.18</v>
      </c>
      <c r="S174" s="148">
        <v>3.71</v>
      </c>
      <c r="T174" s="143"/>
      <c r="U174" s="147">
        <v>111.6</v>
      </c>
      <c r="V174" s="149">
        <v>37.2</v>
      </c>
      <c r="W174" s="250">
        <v>145</v>
      </c>
      <c r="X174" s="143"/>
      <c r="Y174" s="147">
        <v>100.4</v>
      </c>
      <c r="Z174" s="149">
        <v>33.5</v>
      </c>
      <c r="AA174" s="250">
        <v>155</v>
      </c>
    </row>
    <row r="175" spans="5:27" ht="13.5" thickBot="1">
      <c r="E175" s="137"/>
      <c r="F175" s="152">
        <v>12.38</v>
      </c>
      <c r="G175" s="153">
        <v>13.21</v>
      </c>
      <c r="H175" s="137"/>
      <c r="I175" s="152">
        <v>119.8</v>
      </c>
      <c r="J175" s="154">
        <v>20</v>
      </c>
      <c r="K175" s="255">
        <v>151</v>
      </c>
      <c r="L175" s="137"/>
      <c r="M175" s="152">
        <v>106.7</v>
      </c>
      <c r="N175" s="154">
        <v>17.8</v>
      </c>
      <c r="O175" s="255">
        <v>161</v>
      </c>
      <c r="Q175" s="137"/>
      <c r="R175" s="152">
        <v>4.1</v>
      </c>
      <c r="S175" s="153">
        <v>1.82</v>
      </c>
      <c r="T175" s="137"/>
      <c r="U175" s="152">
        <v>105.3</v>
      </c>
      <c r="V175" s="154">
        <v>52.7</v>
      </c>
      <c r="W175" s="255">
        <v>140</v>
      </c>
      <c r="X175" s="137"/>
      <c r="Y175" s="152">
        <v>93.3</v>
      </c>
      <c r="Z175" s="154">
        <v>46.7</v>
      </c>
      <c r="AA175" s="255">
        <v>149</v>
      </c>
    </row>
    <row r="176" spans="5:27" ht="12.75">
      <c r="E176" s="143"/>
      <c r="F176" s="144">
        <v>4.11</v>
      </c>
      <c r="G176" s="132">
        <v>2</v>
      </c>
      <c r="H176" s="143"/>
      <c r="I176" s="144">
        <v>109.8</v>
      </c>
      <c r="J176" s="151">
        <v>54.9</v>
      </c>
      <c r="K176" s="253">
        <v>133</v>
      </c>
      <c r="L176" s="143"/>
      <c r="M176" s="144">
        <v>100.2</v>
      </c>
      <c r="N176" s="151">
        <v>50.1</v>
      </c>
      <c r="O176" s="253">
        <v>143</v>
      </c>
      <c r="Q176" s="143"/>
      <c r="R176" s="144">
        <v>12.4</v>
      </c>
      <c r="S176" s="132">
        <v>14.54</v>
      </c>
      <c r="T176" s="143"/>
      <c r="U176" s="144">
        <v>127.9</v>
      </c>
      <c r="V176" s="151">
        <v>21.3</v>
      </c>
      <c r="W176" s="253">
        <v>145</v>
      </c>
      <c r="X176" s="143"/>
      <c r="Y176" s="144">
        <v>112.2</v>
      </c>
      <c r="Z176" s="151">
        <v>18.7</v>
      </c>
      <c r="AA176" s="253">
        <v>153</v>
      </c>
    </row>
    <row r="177" spans="5:27" ht="12.75">
      <c r="E177" s="143"/>
      <c r="F177" s="147">
        <v>5.14</v>
      </c>
      <c r="G177" s="148">
        <v>2.98</v>
      </c>
      <c r="H177" s="143"/>
      <c r="I177" s="147">
        <v>114.8</v>
      </c>
      <c r="J177" s="149">
        <v>45.9</v>
      </c>
      <c r="K177" s="250">
        <v>136</v>
      </c>
      <c r="L177" s="143"/>
      <c r="M177" s="147">
        <v>103.5</v>
      </c>
      <c r="N177" s="149">
        <v>41.4</v>
      </c>
      <c r="O177" s="250">
        <v>146</v>
      </c>
      <c r="Q177" s="143"/>
      <c r="R177" s="147">
        <v>10.31</v>
      </c>
      <c r="S177" s="148">
        <v>10.32</v>
      </c>
      <c r="T177" s="143"/>
      <c r="U177" s="147">
        <v>125.8</v>
      </c>
      <c r="V177" s="149">
        <v>25.2</v>
      </c>
      <c r="W177" s="250">
        <v>144</v>
      </c>
      <c r="X177" s="143"/>
      <c r="Y177" s="147">
        <v>111.4</v>
      </c>
      <c r="Z177" s="149">
        <v>22.3</v>
      </c>
      <c r="AA177" s="250">
        <v>152</v>
      </c>
    </row>
    <row r="178" spans="5:27" ht="12.75">
      <c r="E178" s="150" t="s">
        <v>16</v>
      </c>
      <c r="F178" s="144">
        <v>6.18</v>
      </c>
      <c r="G178" s="132">
        <v>4.08</v>
      </c>
      <c r="H178" s="143">
        <v>1385</v>
      </c>
      <c r="I178" s="144">
        <v>118.3</v>
      </c>
      <c r="J178" s="151">
        <v>39.4</v>
      </c>
      <c r="K178" s="253">
        <v>139</v>
      </c>
      <c r="L178" s="143">
        <v>1110</v>
      </c>
      <c r="M178" s="144">
        <v>106.6</v>
      </c>
      <c r="N178" s="151">
        <v>35.5</v>
      </c>
      <c r="O178" s="253">
        <v>149</v>
      </c>
      <c r="Q178" s="150" t="s">
        <v>16</v>
      </c>
      <c r="R178" s="144">
        <v>6.18</v>
      </c>
      <c r="S178" s="132">
        <v>4.08</v>
      </c>
      <c r="T178" s="143">
        <v>1385</v>
      </c>
      <c r="U178" s="144">
        <v>118.3</v>
      </c>
      <c r="V178" s="151">
        <v>39.4</v>
      </c>
      <c r="W178" s="253">
        <v>139</v>
      </c>
      <c r="X178" s="143">
        <v>1110</v>
      </c>
      <c r="Y178" s="144">
        <v>106.6</v>
      </c>
      <c r="Z178" s="151">
        <v>35.5</v>
      </c>
      <c r="AA178" s="253">
        <v>149</v>
      </c>
    </row>
    <row r="179" spans="5:27" ht="12.75">
      <c r="E179" s="143"/>
      <c r="F179" s="147">
        <v>10.31</v>
      </c>
      <c r="G179" s="148">
        <v>10.32</v>
      </c>
      <c r="H179" s="143"/>
      <c r="I179" s="147">
        <v>125.8</v>
      </c>
      <c r="J179" s="149">
        <v>25.2</v>
      </c>
      <c r="K179" s="250">
        <v>144</v>
      </c>
      <c r="L179" s="143"/>
      <c r="M179" s="147">
        <v>111.4</v>
      </c>
      <c r="N179" s="149">
        <v>22.3</v>
      </c>
      <c r="O179" s="250">
        <v>152</v>
      </c>
      <c r="Q179" s="143"/>
      <c r="R179" s="147">
        <v>5.14</v>
      </c>
      <c r="S179" s="148">
        <v>2.98</v>
      </c>
      <c r="T179" s="143"/>
      <c r="U179" s="147">
        <v>114.8</v>
      </c>
      <c r="V179" s="149">
        <v>45.9</v>
      </c>
      <c r="W179" s="250">
        <v>136</v>
      </c>
      <c r="X179" s="143"/>
      <c r="Y179" s="147">
        <v>103.5</v>
      </c>
      <c r="Z179" s="149">
        <v>41.4</v>
      </c>
      <c r="AA179" s="250">
        <v>146</v>
      </c>
    </row>
    <row r="180" spans="5:27" ht="13.5" thickBot="1">
      <c r="E180" s="137"/>
      <c r="F180" s="152">
        <v>12.4</v>
      </c>
      <c r="G180" s="153">
        <v>14.54</v>
      </c>
      <c r="H180" s="137"/>
      <c r="I180" s="152">
        <v>127.9</v>
      </c>
      <c r="J180" s="154">
        <v>21.3</v>
      </c>
      <c r="K180" s="255">
        <v>145</v>
      </c>
      <c r="L180" s="137"/>
      <c r="M180" s="152">
        <v>112.2</v>
      </c>
      <c r="N180" s="154">
        <v>18.7</v>
      </c>
      <c r="O180" s="255">
        <v>153</v>
      </c>
      <c r="Q180" s="137"/>
      <c r="R180" s="152">
        <v>4.11</v>
      </c>
      <c r="S180" s="153">
        <v>2</v>
      </c>
      <c r="T180" s="137"/>
      <c r="U180" s="152">
        <v>109.8</v>
      </c>
      <c r="V180" s="154">
        <v>54.9</v>
      </c>
      <c r="W180" s="255">
        <v>133</v>
      </c>
      <c r="X180" s="137"/>
      <c r="Y180" s="152">
        <v>100.2</v>
      </c>
      <c r="Z180" s="154">
        <v>50.1</v>
      </c>
      <c r="AA180" s="255">
        <v>143</v>
      </c>
    </row>
    <row r="189" spans="2:23" ht="12.75"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</row>
    <row r="190" spans="2:23" ht="12.75">
      <c r="B190" s="171"/>
      <c r="C190" s="38"/>
      <c r="D190" s="33"/>
      <c r="E190" s="33"/>
      <c r="F190" s="33"/>
      <c r="G190" s="33"/>
      <c r="H190" s="33"/>
      <c r="I190" s="33"/>
      <c r="J190" s="33"/>
      <c r="K190" s="33"/>
      <c r="L190" s="171"/>
      <c r="M190" s="171"/>
      <c r="N190" s="171"/>
      <c r="O190" s="171"/>
      <c r="P190" s="171"/>
      <c r="Q190" s="171"/>
      <c r="R190" s="171"/>
      <c r="S190" s="171"/>
      <c r="T190" s="171"/>
      <c r="U190" s="6"/>
      <c r="V190" s="6"/>
      <c r="W190" s="171"/>
    </row>
    <row r="191" spans="2:30" ht="12.75"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  <c r="U191" s="415"/>
      <c r="V191" s="415"/>
      <c r="W191" s="171"/>
      <c r="Z191" s="51"/>
      <c r="AD191" s="51"/>
    </row>
    <row r="192" spans="2:26" ht="12.75">
      <c r="B192" s="171"/>
      <c r="C192" s="38"/>
      <c r="D192" s="38"/>
      <c r="E192" s="38"/>
      <c r="F192" s="38"/>
      <c r="G192" s="38"/>
      <c r="H192" s="38"/>
      <c r="I192" s="38"/>
      <c r="J192" s="38"/>
      <c r="K192" s="38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38"/>
      <c r="Y192" s="50"/>
      <c r="Z192" s="52"/>
    </row>
    <row r="193" spans="2:25" ht="12.75">
      <c r="B193" s="171"/>
      <c r="C193" s="38"/>
      <c r="D193" s="38"/>
      <c r="E193" s="38"/>
      <c r="F193" s="38"/>
      <c r="G193" s="38"/>
      <c r="H193" s="38"/>
      <c r="I193" s="38"/>
      <c r="J193" s="38"/>
      <c r="K193" s="38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"/>
      <c r="Y193" s="1"/>
    </row>
    <row r="194" spans="2:25" ht="12.75">
      <c r="B194" s="171"/>
      <c r="C194" s="38"/>
      <c r="D194" s="38"/>
      <c r="E194" s="38"/>
      <c r="F194" s="38"/>
      <c r="G194" s="38"/>
      <c r="H194" s="38"/>
      <c r="I194" s="38"/>
      <c r="J194" s="38"/>
      <c r="K194" s="38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"/>
      <c r="Y194" s="1"/>
    </row>
    <row r="195" spans="2:25" ht="12.75">
      <c r="B195" s="171"/>
      <c r="C195" s="38"/>
      <c r="D195" s="38"/>
      <c r="E195" s="38"/>
      <c r="F195" s="38"/>
      <c r="G195" s="38"/>
      <c r="H195" s="38"/>
      <c r="I195" s="38"/>
      <c r="J195" s="38"/>
      <c r="K195" s="38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  <c r="W195" s="171"/>
      <c r="X195" s="1"/>
      <c r="Y195" s="1"/>
    </row>
    <row r="196" spans="2:25" ht="12.75">
      <c r="B196" s="171"/>
      <c r="C196" s="38"/>
      <c r="D196" s="38"/>
      <c r="E196" s="38"/>
      <c r="F196" s="38"/>
      <c r="G196" s="38"/>
      <c r="H196" s="38"/>
      <c r="I196" s="38"/>
      <c r="J196" s="38"/>
      <c r="K196" s="38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"/>
      <c r="Y196" s="1"/>
    </row>
    <row r="197" spans="2:25" ht="12.75">
      <c r="B197" s="171"/>
      <c r="C197" s="38"/>
      <c r="D197" s="38"/>
      <c r="E197" s="38"/>
      <c r="F197" s="38"/>
      <c r="G197" s="38"/>
      <c r="H197" s="38"/>
      <c r="I197" s="38"/>
      <c r="J197" s="38"/>
      <c r="K197" s="38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"/>
      <c r="Y197" s="1"/>
    </row>
    <row r="198" spans="2:25" ht="12.75">
      <c r="B198" s="171"/>
      <c r="C198" s="38"/>
      <c r="D198" s="38"/>
      <c r="E198" s="38"/>
      <c r="F198" s="38"/>
      <c r="G198" s="38"/>
      <c r="H198" s="38"/>
      <c r="I198" s="38"/>
      <c r="J198" s="38"/>
      <c r="K198" s="38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"/>
      <c r="Y198" s="1"/>
    </row>
    <row r="199" spans="2:25" ht="12.75">
      <c r="B199" s="171"/>
      <c r="C199" s="38"/>
      <c r="D199" s="38"/>
      <c r="E199" s="38"/>
      <c r="F199" s="38"/>
      <c r="G199" s="38"/>
      <c r="H199" s="38"/>
      <c r="I199" s="38"/>
      <c r="J199" s="38"/>
      <c r="K199" s="38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"/>
      <c r="Y199" s="1"/>
    </row>
    <row r="200" spans="2:25" ht="12.75">
      <c r="B200" s="171"/>
      <c r="C200" s="38"/>
      <c r="D200" s="38"/>
      <c r="E200" s="38"/>
      <c r="F200" s="38"/>
      <c r="G200" s="38"/>
      <c r="H200" s="38"/>
      <c r="I200" s="38"/>
      <c r="J200" s="38"/>
      <c r="K200" s="38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"/>
      <c r="Y200" s="1"/>
    </row>
    <row r="201" spans="2:25" ht="12.75">
      <c r="B201" s="171"/>
      <c r="C201" s="38"/>
      <c r="D201" s="38"/>
      <c r="E201" s="38"/>
      <c r="F201" s="38"/>
      <c r="G201" s="38"/>
      <c r="H201" s="38"/>
      <c r="I201" s="38"/>
      <c r="J201" s="38"/>
      <c r="K201" s="38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"/>
      <c r="Y201" s="1"/>
    </row>
    <row r="202" spans="2:25" ht="12.75">
      <c r="B202" s="171"/>
      <c r="C202" s="38"/>
      <c r="D202" s="38"/>
      <c r="E202" s="38"/>
      <c r="F202" s="38"/>
      <c r="G202" s="38"/>
      <c r="H202" s="38"/>
      <c r="I202" s="38"/>
      <c r="J202" s="38"/>
      <c r="K202" s="38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  <c r="W202" s="171"/>
      <c r="X202" s="1"/>
      <c r="Y202" s="1"/>
    </row>
    <row r="203" spans="2:25" ht="12.75">
      <c r="B203" s="171"/>
      <c r="C203" s="38"/>
      <c r="D203" s="38"/>
      <c r="E203" s="38"/>
      <c r="F203" s="38"/>
      <c r="G203" s="38"/>
      <c r="H203" s="38"/>
      <c r="I203" s="38"/>
      <c r="J203" s="38"/>
      <c r="K203" s="38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  <c r="W203" s="171"/>
      <c r="X203" s="1"/>
      <c r="Y203" s="1"/>
    </row>
    <row r="204" spans="2:25" ht="12.75">
      <c r="B204" s="171"/>
      <c r="C204" s="38"/>
      <c r="D204" s="38"/>
      <c r="E204" s="38"/>
      <c r="F204" s="38"/>
      <c r="G204" s="38"/>
      <c r="H204" s="38"/>
      <c r="I204" s="38"/>
      <c r="J204" s="38"/>
      <c r="K204" s="38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"/>
      <c r="Y204" s="1"/>
    </row>
    <row r="205" spans="2:25" ht="12.75">
      <c r="B205" s="171"/>
      <c r="C205" s="38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"/>
      <c r="Y205" s="1"/>
    </row>
    <row r="206" spans="2:25" ht="12.75">
      <c r="B206" s="171"/>
      <c r="C206" s="38"/>
      <c r="D206" s="38"/>
      <c r="E206" s="38"/>
      <c r="F206" s="38"/>
      <c r="G206" s="38"/>
      <c r="H206" s="38"/>
      <c r="I206" s="38"/>
      <c r="J206" s="38"/>
      <c r="K206" s="38"/>
      <c r="L206" s="171"/>
      <c r="M206" s="171"/>
      <c r="N206" s="171"/>
      <c r="O206" s="171"/>
      <c r="P206" s="171"/>
      <c r="Q206" s="171"/>
      <c r="R206" s="171"/>
      <c r="S206" s="171"/>
      <c r="T206" s="171"/>
      <c r="U206" s="171"/>
      <c r="V206" s="171"/>
      <c r="W206" s="171"/>
      <c r="X206" s="1"/>
      <c r="Y206" s="1"/>
    </row>
    <row r="207" spans="2:25" ht="12.75">
      <c r="B207" s="171"/>
      <c r="C207" s="38"/>
      <c r="D207" s="38"/>
      <c r="E207" s="38"/>
      <c r="F207" s="38"/>
      <c r="G207" s="38"/>
      <c r="H207" s="38"/>
      <c r="I207" s="38"/>
      <c r="J207" s="38"/>
      <c r="K207" s="38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"/>
      <c r="Y207" s="1"/>
    </row>
    <row r="208" spans="2:25" ht="12.75">
      <c r="B208" s="171"/>
      <c r="C208" s="38"/>
      <c r="D208" s="38"/>
      <c r="E208" s="38"/>
      <c r="F208" s="38"/>
      <c r="G208" s="38"/>
      <c r="H208" s="38"/>
      <c r="I208" s="38"/>
      <c r="J208" s="38"/>
      <c r="K208" s="38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"/>
      <c r="Y208" s="1"/>
    </row>
    <row r="209" spans="2:25" ht="12.75">
      <c r="B209" s="171"/>
      <c r="C209" s="38"/>
      <c r="D209" s="38"/>
      <c r="E209" s="38"/>
      <c r="F209" s="38"/>
      <c r="G209" s="38"/>
      <c r="H209" s="38"/>
      <c r="I209" s="38"/>
      <c r="J209" s="38"/>
      <c r="K209" s="38"/>
      <c r="L209" s="171"/>
      <c r="M209" s="171"/>
      <c r="N209" s="171"/>
      <c r="O209" s="171"/>
      <c r="P209" s="171"/>
      <c r="Q209" s="171"/>
      <c r="R209" s="171"/>
      <c r="S209" s="171"/>
      <c r="T209" s="171"/>
      <c r="U209" s="171"/>
      <c r="V209" s="171"/>
      <c r="W209" s="171"/>
      <c r="X209" s="1"/>
      <c r="Y209" s="1"/>
    </row>
    <row r="210" spans="2:25" ht="12.75">
      <c r="B210" s="171"/>
      <c r="C210" s="38"/>
      <c r="D210" s="38"/>
      <c r="E210" s="38"/>
      <c r="F210" s="38"/>
      <c r="G210" s="38"/>
      <c r="H210" s="38"/>
      <c r="I210" s="38"/>
      <c r="J210" s="38"/>
      <c r="K210" s="38"/>
      <c r="L210" s="171"/>
      <c r="M210" s="171"/>
      <c r="N210" s="171"/>
      <c r="O210" s="171"/>
      <c r="P210" s="171"/>
      <c r="Q210" s="171"/>
      <c r="R210" s="171"/>
      <c r="S210" s="171"/>
      <c r="T210" s="171"/>
      <c r="U210" s="171"/>
      <c r="V210" s="171"/>
      <c r="W210" s="171"/>
      <c r="X210" s="1"/>
      <c r="Y210" s="1"/>
    </row>
    <row r="211" spans="2:25" ht="12.75">
      <c r="B211" s="171"/>
      <c r="C211" s="38"/>
      <c r="D211" s="38"/>
      <c r="E211" s="38"/>
      <c r="F211" s="38"/>
      <c r="G211" s="38"/>
      <c r="H211" s="38"/>
      <c r="I211" s="38"/>
      <c r="J211" s="38"/>
      <c r="K211" s="38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"/>
      <c r="Y211" s="1"/>
    </row>
    <row r="212" spans="2:25" ht="12.75">
      <c r="B212" s="171"/>
      <c r="C212" s="38"/>
      <c r="D212" s="38"/>
      <c r="E212" s="38"/>
      <c r="F212" s="38"/>
      <c r="G212" s="38"/>
      <c r="H212" s="38"/>
      <c r="I212" s="38"/>
      <c r="J212" s="38"/>
      <c r="K212" s="38"/>
      <c r="L212" s="171"/>
      <c r="M212" s="171"/>
      <c r="N212" s="171"/>
      <c r="O212" s="171"/>
      <c r="P212" s="171"/>
      <c r="Q212" s="171"/>
      <c r="R212" s="171"/>
      <c r="S212" s="171"/>
      <c r="T212" s="171"/>
      <c r="U212" s="171"/>
      <c r="V212" s="171"/>
      <c r="W212" s="171"/>
      <c r="X212" s="1"/>
      <c r="Y212" s="1"/>
    </row>
    <row r="213" spans="2:25" ht="12.75">
      <c r="B213" s="171"/>
      <c r="C213" s="38"/>
      <c r="D213" s="38"/>
      <c r="E213" s="38"/>
      <c r="F213" s="38"/>
      <c r="G213" s="38"/>
      <c r="H213" s="38"/>
      <c r="I213" s="38"/>
      <c r="J213" s="38"/>
      <c r="K213" s="38"/>
      <c r="L213" s="171"/>
      <c r="M213" s="171"/>
      <c r="N213" s="171"/>
      <c r="O213" s="171"/>
      <c r="P213" s="171"/>
      <c r="Q213" s="171"/>
      <c r="R213" s="171"/>
      <c r="S213" s="171"/>
      <c r="T213" s="171"/>
      <c r="U213" s="171"/>
      <c r="V213" s="171"/>
      <c r="W213" s="171"/>
      <c r="X213" s="1"/>
      <c r="Y213" s="1"/>
    </row>
    <row r="214" spans="2:25" ht="12.75">
      <c r="B214" s="171"/>
      <c r="C214" s="38"/>
      <c r="D214" s="38"/>
      <c r="E214" s="38"/>
      <c r="F214" s="38"/>
      <c r="G214" s="38"/>
      <c r="H214" s="38"/>
      <c r="I214" s="38"/>
      <c r="J214" s="38"/>
      <c r="K214" s="38"/>
      <c r="L214" s="171"/>
      <c r="M214" s="171"/>
      <c r="N214" s="171"/>
      <c r="O214" s="171"/>
      <c r="P214" s="171"/>
      <c r="Q214" s="171"/>
      <c r="R214" s="171"/>
      <c r="S214" s="171"/>
      <c r="T214" s="171"/>
      <c r="U214" s="171"/>
      <c r="V214" s="171"/>
      <c r="W214" s="171"/>
      <c r="X214" s="1"/>
      <c r="Y214" s="1"/>
    </row>
    <row r="215" spans="2:25" ht="12.75">
      <c r="B215" s="171"/>
      <c r="C215" s="38"/>
      <c r="D215" s="38"/>
      <c r="E215" s="38"/>
      <c r="F215" s="38"/>
      <c r="G215" s="38"/>
      <c r="H215" s="38"/>
      <c r="I215" s="38"/>
      <c r="J215" s="38"/>
      <c r="K215" s="38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  <c r="V215" s="171"/>
      <c r="W215" s="171"/>
      <c r="X215" s="1"/>
      <c r="Y215" s="1"/>
    </row>
    <row r="216" spans="2:23" ht="12.75">
      <c r="B216" s="171"/>
      <c r="C216" s="38"/>
      <c r="D216" s="38"/>
      <c r="E216" s="38"/>
      <c r="F216" s="38"/>
      <c r="G216" s="38"/>
      <c r="H216" s="38"/>
      <c r="I216" s="38"/>
      <c r="J216" s="38"/>
      <c r="K216" s="38"/>
      <c r="L216" s="171"/>
      <c r="M216" s="171"/>
      <c r="N216" s="171"/>
      <c r="O216" s="171"/>
      <c r="P216" s="171"/>
      <c r="Q216" s="171"/>
      <c r="R216" s="171"/>
      <c r="S216" s="171"/>
      <c r="T216" s="171"/>
      <c r="U216" s="171"/>
      <c r="V216" s="171"/>
      <c r="W216" s="171"/>
    </row>
    <row r="217" spans="2:23" ht="12.75">
      <c r="B217" s="171"/>
      <c r="C217" s="38"/>
      <c r="D217" s="38"/>
      <c r="E217" s="38"/>
      <c r="F217" s="38"/>
      <c r="G217" s="38"/>
      <c r="H217" s="38"/>
      <c r="I217" s="38"/>
      <c r="J217" s="38"/>
      <c r="K217" s="38"/>
      <c r="L217" s="171"/>
      <c r="M217" s="171"/>
      <c r="N217" s="171"/>
      <c r="O217" s="171"/>
      <c r="P217" s="171"/>
      <c r="Q217" s="171"/>
      <c r="R217" s="171"/>
      <c r="S217" s="171"/>
      <c r="T217" s="171"/>
      <c r="U217" s="171"/>
      <c r="V217" s="171"/>
      <c r="W217" s="171"/>
    </row>
    <row r="218" spans="2:23" ht="12.75">
      <c r="B218" s="171"/>
      <c r="C218" s="6"/>
      <c r="D218" s="171"/>
      <c r="E218" s="171"/>
      <c r="F218" s="171"/>
      <c r="G218" s="171"/>
      <c r="H218" s="171"/>
      <c r="I218" s="171"/>
      <c r="J218" s="171"/>
      <c r="K218" s="171"/>
      <c r="L218" s="171"/>
      <c r="M218" s="171"/>
      <c r="N218" s="171"/>
      <c r="O218" s="171"/>
      <c r="P218" s="171"/>
      <c r="Q218" s="171"/>
      <c r="R218" s="171"/>
      <c r="S218" s="6"/>
      <c r="T218" s="171"/>
      <c r="U218" s="171"/>
      <c r="V218" s="171"/>
      <c r="W218" s="171"/>
    </row>
    <row r="219" spans="2:23" ht="12.75">
      <c r="B219" s="189"/>
      <c r="C219" s="41"/>
      <c r="D219" s="189"/>
      <c r="E219" s="171"/>
      <c r="F219" s="171"/>
      <c r="G219" s="171"/>
      <c r="H219" s="171"/>
      <c r="I219" s="171"/>
      <c r="J219" s="171"/>
      <c r="K219" s="171"/>
      <c r="L219" s="171"/>
      <c r="M219" s="171"/>
      <c r="N219" s="171"/>
      <c r="O219" s="171"/>
      <c r="P219" s="171"/>
      <c r="Q219" s="171"/>
      <c r="R219" s="171"/>
      <c r="S219" s="38"/>
      <c r="T219" s="171"/>
      <c r="U219" s="171"/>
      <c r="V219" s="171"/>
      <c r="W219" s="171"/>
    </row>
    <row r="220" spans="2:19" ht="12.75">
      <c r="B220" s="212"/>
      <c r="C220" s="213"/>
      <c r="D220" s="212"/>
      <c r="S220" s="29"/>
    </row>
    <row r="221" spans="2:19" ht="12.75">
      <c r="B221" s="212"/>
      <c r="C221" s="213"/>
      <c r="D221" s="212"/>
      <c r="S221" s="29"/>
    </row>
    <row r="222" spans="2:19" ht="12.75">
      <c r="B222" s="212"/>
      <c r="C222" s="213"/>
      <c r="D222" s="212"/>
      <c r="S222" s="29"/>
    </row>
    <row r="223" spans="2:19" ht="12.75">
      <c r="B223" s="212"/>
      <c r="C223" s="214"/>
      <c r="D223" s="212"/>
      <c r="S223" s="1"/>
    </row>
    <row r="224" spans="2:19" ht="12.75">
      <c r="B224" s="212"/>
      <c r="C224" s="214"/>
      <c r="D224" s="212"/>
      <c r="S224" s="1"/>
    </row>
    <row r="225" spans="2:19" ht="12.75">
      <c r="B225" s="212"/>
      <c r="C225" s="214"/>
      <c r="D225" s="212"/>
      <c r="S225" s="1"/>
    </row>
    <row r="226" spans="2:20" ht="12.75">
      <c r="B226" s="212"/>
      <c r="C226" s="214"/>
      <c r="D226" s="21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2:20" ht="12.75">
      <c r="B227" s="212"/>
      <c r="C227" s="214"/>
      <c r="D227" s="21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2:20" ht="12.75">
      <c r="B228" s="212"/>
      <c r="C228" s="214"/>
      <c r="D228" s="21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2:20" ht="12.75">
      <c r="B229" s="212"/>
      <c r="C229" s="214"/>
      <c r="D229" s="21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2:20" ht="12.75">
      <c r="B230" s="212"/>
      <c r="C230" s="214"/>
      <c r="D230" s="21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2:20" ht="12.75">
      <c r="B231" s="212"/>
      <c r="C231" s="214"/>
      <c r="D231" s="21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2:20" ht="12.75">
      <c r="B232" s="212"/>
      <c r="C232" s="214"/>
      <c r="D232" s="21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2:20" ht="12.75">
      <c r="B233" s="212"/>
      <c r="C233" s="214"/>
      <c r="D233" s="21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2:20" ht="12.75">
      <c r="B234" s="212"/>
      <c r="C234" s="214"/>
      <c r="D234" s="21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2:20" ht="12.75">
      <c r="B235" s="212"/>
      <c r="C235" s="214"/>
      <c r="D235" s="21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2:20" ht="12.75">
      <c r="B236" s="212"/>
      <c r="C236" s="214"/>
      <c r="D236" s="21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2:20" ht="12.75">
      <c r="B237" s="212"/>
      <c r="C237" s="214"/>
      <c r="D237" s="21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2:20" ht="12.75">
      <c r="B238" s="212"/>
      <c r="C238" s="214"/>
      <c r="D238" s="21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2:20" ht="12.75">
      <c r="B239" s="212"/>
      <c r="C239" s="214"/>
      <c r="D239" s="21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2:20" ht="12.75">
      <c r="B240" s="212"/>
      <c r="C240" s="214"/>
      <c r="D240" s="21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2:20" ht="12.75">
      <c r="B241" s="212"/>
      <c r="C241" s="214"/>
      <c r="D241" s="21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2:20" ht="12.75">
      <c r="B242" s="212"/>
      <c r="C242" s="214"/>
      <c r="D242" s="21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2:20" ht="12.75">
      <c r="B243" s="212"/>
      <c r="C243" s="214"/>
      <c r="D243" s="21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2:4" ht="12.75">
      <c r="B244" s="212"/>
      <c r="C244" s="212"/>
      <c r="D244" s="212"/>
    </row>
    <row r="254" spans="1:12" ht="12.75">
      <c r="A254" s="171"/>
      <c r="B254" s="171"/>
      <c r="C254" s="171"/>
      <c r="D254" s="171"/>
      <c r="E254" s="171"/>
      <c r="F254" s="171"/>
      <c r="G254" s="171"/>
      <c r="H254" s="171"/>
      <c r="I254" s="171"/>
      <c r="J254" s="171"/>
      <c r="K254" s="171"/>
      <c r="L254" s="171"/>
    </row>
    <row r="255" spans="1:12" ht="12.75">
      <c r="A255" s="171"/>
      <c r="B255" s="171"/>
      <c r="C255" s="6"/>
      <c r="D255" s="33"/>
      <c r="E255" s="33"/>
      <c r="F255" s="33"/>
      <c r="G255" s="33"/>
      <c r="H255" s="33"/>
      <c r="I255" s="33"/>
      <c r="J255" s="33"/>
      <c r="K255" s="33"/>
      <c r="L255" s="171"/>
    </row>
    <row r="256" spans="1:12" ht="12.75">
      <c r="A256" s="171"/>
      <c r="B256" s="171"/>
      <c r="C256" s="38"/>
      <c r="D256" s="38"/>
      <c r="E256" s="38"/>
      <c r="F256" s="38"/>
      <c r="G256" s="38"/>
      <c r="H256" s="38"/>
      <c r="I256" s="38"/>
      <c r="J256" s="38"/>
      <c r="K256" s="38"/>
      <c r="L256" s="171"/>
    </row>
    <row r="257" spans="1:12" ht="12.75">
      <c r="A257" s="171"/>
      <c r="B257" s="171"/>
      <c r="C257" s="38"/>
      <c r="D257" s="215"/>
      <c r="E257" s="215"/>
      <c r="F257" s="215"/>
      <c r="G257" s="215"/>
      <c r="H257" s="215"/>
      <c r="I257" s="215"/>
      <c r="J257" s="215"/>
      <c r="K257" s="215"/>
      <c r="L257" s="171"/>
    </row>
    <row r="258" spans="1:12" ht="12.75">
      <c r="A258" s="171"/>
      <c r="B258" s="171"/>
      <c r="C258" s="38"/>
      <c r="D258" s="215"/>
      <c r="E258" s="215"/>
      <c r="F258" s="215"/>
      <c r="G258" s="215"/>
      <c r="H258" s="215"/>
      <c r="I258" s="215"/>
      <c r="J258" s="215"/>
      <c r="K258" s="215"/>
      <c r="L258" s="171"/>
    </row>
    <row r="259" spans="1:12" ht="12.75">
      <c r="A259" s="171"/>
      <c r="B259" s="171"/>
      <c r="C259" s="38"/>
      <c r="D259" s="215"/>
      <c r="E259" s="215"/>
      <c r="F259" s="215"/>
      <c r="G259" s="215"/>
      <c r="H259" s="215"/>
      <c r="I259" s="215"/>
      <c r="J259" s="215"/>
      <c r="K259" s="215"/>
      <c r="L259" s="171"/>
    </row>
    <row r="260" spans="1:12" ht="12.75">
      <c r="A260" s="171"/>
      <c r="B260" s="171"/>
      <c r="C260" s="38"/>
      <c r="D260" s="215"/>
      <c r="E260" s="215"/>
      <c r="F260" s="215"/>
      <c r="G260" s="215"/>
      <c r="H260" s="215"/>
      <c r="I260" s="215"/>
      <c r="J260" s="215"/>
      <c r="K260" s="215"/>
      <c r="L260" s="171"/>
    </row>
    <row r="261" spans="1:12" ht="12.75">
      <c r="A261" s="171"/>
      <c r="B261" s="171"/>
      <c r="C261" s="38"/>
      <c r="D261" s="215"/>
      <c r="E261" s="215"/>
      <c r="F261" s="215"/>
      <c r="G261" s="215"/>
      <c r="H261" s="215"/>
      <c r="I261" s="215"/>
      <c r="J261" s="215"/>
      <c r="K261" s="215"/>
      <c r="L261" s="171"/>
    </row>
    <row r="262" spans="1:12" ht="12.75">
      <c r="A262" s="171"/>
      <c r="B262" s="171"/>
      <c r="C262" s="38"/>
      <c r="D262" s="215"/>
      <c r="E262" s="215"/>
      <c r="F262" s="215"/>
      <c r="G262" s="215"/>
      <c r="H262" s="215"/>
      <c r="I262" s="215"/>
      <c r="J262" s="215"/>
      <c r="K262" s="215"/>
      <c r="L262" s="171"/>
    </row>
    <row r="263" spans="1:12" ht="12.75">
      <c r="A263" s="171"/>
      <c r="B263" s="171"/>
      <c r="C263" s="38"/>
      <c r="D263" s="215"/>
      <c r="E263" s="215"/>
      <c r="F263" s="215"/>
      <c r="G263" s="215"/>
      <c r="H263" s="215"/>
      <c r="I263" s="215"/>
      <c r="J263" s="215"/>
      <c r="K263" s="215"/>
      <c r="L263" s="171"/>
    </row>
    <row r="264" spans="1:12" ht="12.75">
      <c r="A264" s="171"/>
      <c r="B264" s="171"/>
      <c r="C264" s="38"/>
      <c r="D264" s="215"/>
      <c r="E264" s="215"/>
      <c r="F264" s="215"/>
      <c r="G264" s="215"/>
      <c r="H264" s="215"/>
      <c r="I264" s="215"/>
      <c r="J264" s="215"/>
      <c r="K264" s="215"/>
      <c r="L264" s="171"/>
    </row>
    <row r="265" spans="1:12" ht="12.75">
      <c r="A265" s="171"/>
      <c r="B265" s="171"/>
      <c r="C265" s="38"/>
      <c r="D265" s="215"/>
      <c r="E265" s="215"/>
      <c r="F265" s="215"/>
      <c r="G265" s="215"/>
      <c r="H265" s="215"/>
      <c r="I265" s="215"/>
      <c r="J265" s="215"/>
      <c r="K265" s="215"/>
      <c r="L265" s="171"/>
    </row>
    <row r="266" spans="1:12" ht="12.75">
      <c r="A266" s="171"/>
      <c r="B266" s="171"/>
      <c r="C266" s="38"/>
      <c r="D266" s="215"/>
      <c r="E266" s="215"/>
      <c r="F266" s="215"/>
      <c r="G266" s="215"/>
      <c r="H266" s="215"/>
      <c r="I266" s="215"/>
      <c r="J266" s="215"/>
      <c r="K266" s="215"/>
      <c r="L266" s="171"/>
    </row>
    <row r="267" spans="1:12" ht="12.75">
      <c r="A267" s="171"/>
      <c r="B267" s="171"/>
      <c r="C267" s="38"/>
      <c r="D267" s="215"/>
      <c r="E267" s="215"/>
      <c r="F267" s="215"/>
      <c r="G267" s="215"/>
      <c r="H267" s="215"/>
      <c r="I267" s="215"/>
      <c r="J267" s="215"/>
      <c r="K267" s="215"/>
      <c r="L267" s="171"/>
    </row>
    <row r="268" spans="1:12" ht="12.75">
      <c r="A268" s="171"/>
      <c r="B268" s="171"/>
      <c r="C268" s="38"/>
      <c r="D268" s="215"/>
      <c r="E268" s="215"/>
      <c r="F268" s="215"/>
      <c r="G268" s="215"/>
      <c r="H268" s="215"/>
      <c r="I268" s="215"/>
      <c r="J268" s="215"/>
      <c r="K268" s="215"/>
      <c r="L268" s="171"/>
    </row>
    <row r="269" spans="1:12" ht="12.75">
      <c r="A269" s="171"/>
      <c r="B269" s="171"/>
      <c r="C269" s="38"/>
      <c r="D269" s="215"/>
      <c r="E269" s="215"/>
      <c r="F269" s="215"/>
      <c r="G269" s="215"/>
      <c r="H269" s="215"/>
      <c r="I269" s="215"/>
      <c r="J269" s="215"/>
      <c r="K269" s="215"/>
      <c r="L269" s="171"/>
    </row>
    <row r="270" spans="1:12" ht="12.75">
      <c r="A270" s="171"/>
      <c r="B270" s="171"/>
      <c r="C270" s="38"/>
      <c r="D270" s="215"/>
      <c r="E270" s="215"/>
      <c r="F270" s="215"/>
      <c r="G270" s="215"/>
      <c r="H270" s="215"/>
      <c r="I270" s="215"/>
      <c r="J270" s="215"/>
      <c r="K270" s="215"/>
      <c r="L270" s="171"/>
    </row>
    <row r="271" spans="1:12" ht="12.75">
      <c r="A271" s="171"/>
      <c r="B271" s="171"/>
      <c r="C271" s="38"/>
      <c r="D271" s="215"/>
      <c r="E271" s="215"/>
      <c r="F271" s="215"/>
      <c r="G271" s="215"/>
      <c r="H271" s="215"/>
      <c r="I271" s="215"/>
      <c r="J271" s="215"/>
      <c r="K271" s="215"/>
      <c r="L271" s="171"/>
    </row>
    <row r="272" spans="1:12" ht="12.75">
      <c r="A272" s="171"/>
      <c r="B272" s="171"/>
      <c r="C272" s="38"/>
      <c r="D272" s="215"/>
      <c r="E272" s="215"/>
      <c r="F272" s="215"/>
      <c r="G272" s="215"/>
      <c r="H272" s="215"/>
      <c r="I272" s="215"/>
      <c r="J272" s="215"/>
      <c r="K272" s="215"/>
      <c r="L272" s="171"/>
    </row>
    <row r="273" spans="1:12" ht="12.75">
      <c r="A273" s="171"/>
      <c r="B273" s="171"/>
      <c r="C273" s="38"/>
      <c r="D273" s="215"/>
      <c r="E273" s="215"/>
      <c r="F273" s="215"/>
      <c r="G273" s="215"/>
      <c r="H273" s="215"/>
      <c r="I273" s="215"/>
      <c r="J273" s="215"/>
      <c r="K273" s="215"/>
      <c r="L273" s="171"/>
    </row>
    <row r="274" spans="1:12" ht="12.75">
      <c r="A274" s="171"/>
      <c r="B274" s="171"/>
      <c r="C274" s="38"/>
      <c r="D274" s="215"/>
      <c r="E274" s="215"/>
      <c r="F274" s="215"/>
      <c r="G274" s="215"/>
      <c r="H274" s="215"/>
      <c r="I274" s="215"/>
      <c r="J274" s="215"/>
      <c r="K274" s="215"/>
      <c r="L274" s="171"/>
    </row>
    <row r="275" spans="1:12" ht="12.75">
      <c r="A275" s="171"/>
      <c r="B275" s="171"/>
      <c r="C275" s="38"/>
      <c r="D275" s="215"/>
      <c r="E275" s="215"/>
      <c r="F275" s="215"/>
      <c r="G275" s="215"/>
      <c r="H275" s="215"/>
      <c r="I275" s="215"/>
      <c r="J275" s="215"/>
      <c r="K275" s="215"/>
      <c r="L275" s="171"/>
    </row>
    <row r="276" spans="1:12" ht="12.75">
      <c r="A276" s="171"/>
      <c r="B276" s="171"/>
      <c r="C276" s="38"/>
      <c r="D276" s="215"/>
      <c r="E276" s="215"/>
      <c r="F276" s="215"/>
      <c r="G276" s="215"/>
      <c r="H276" s="215"/>
      <c r="I276" s="215"/>
      <c r="J276" s="215"/>
      <c r="K276" s="215"/>
      <c r="L276" s="171"/>
    </row>
    <row r="277" spans="1:12" ht="12.75">
      <c r="A277" s="171"/>
      <c r="B277" s="171"/>
      <c r="C277" s="38"/>
      <c r="D277" s="215"/>
      <c r="E277" s="215"/>
      <c r="F277" s="215"/>
      <c r="G277" s="215"/>
      <c r="H277" s="215"/>
      <c r="I277" s="215"/>
      <c r="J277" s="215"/>
      <c r="K277" s="215"/>
      <c r="L277" s="171"/>
    </row>
    <row r="278" spans="1:12" ht="12.75">
      <c r="A278" s="171"/>
      <c r="B278" s="171"/>
      <c r="C278" s="38"/>
      <c r="D278" s="215"/>
      <c r="E278" s="215"/>
      <c r="F278" s="215"/>
      <c r="G278" s="215"/>
      <c r="H278" s="215"/>
      <c r="I278" s="215"/>
      <c r="J278" s="215"/>
      <c r="K278" s="215"/>
      <c r="L278" s="171"/>
    </row>
    <row r="279" spans="1:12" ht="12.75">
      <c r="A279" s="171"/>
      <c r="B279" s="171"/>
      <c r="C279" s="38"/>
      <c r="D279" s="215"/>
      <c r="E279" s="215"/>
      <c r="F279" s="215"/>
      <c r="G279" s="215"/>
      <c r="H279" s="215"/>
      <c r="I279" s="215"/>
      <c r="J279" s="215"/>
      <c r="K279" s="215"/>
      <c r="L279" s="171"/>
    </row>
    <row r="280" spans="1:12" ht="12.75">
      <c r="A280" s="171"/>
      <c r="B280" s="171"/>
      <c r="C280" s="38"/>
      <c r="D280" s="215"/>
      <c r="E280" s="215"/>
      <c r="F280" s="215"/>
      <c r="G280" s="215"/>
      <c r="H280" s="215"/>
      <c r="I280" s="215"/>
      <c r="J280" s="215"/>
      <c r="K280" s="215"/>
      <c r="L280" s="171"/>
    </row>
    <row r="281" spans="1:12" ht="12.75">
      <c r="A281" s="171"/>
      <c r="B281" s="171"/>
      <c r="C281" s="38"/>
      <c r="D281" s="215"/>
      <c r="E281" s="215"/>
      <c r="F281" s="215"/>
      <c r="G281" s="215"/>
      <c r="H281" s="215"/>
      <c r="I281" s="215"/>
      <c r="J281" s="215"/>
      <c r="K281" s="215"/>
      <c r="L281" s="171"/>
    </row>
    <row r="282" spans="1:12" ht="12.75">
      <c r="A282" s="171"/>
      <c r="B282" s="171"/>
      <c r="C282" s="38"/>
      <c r="D282" s="215"/>
      <c r="E282" s="215"/>
      <c r="F282" s="215"/>
      <c r="G282" s="215"/>
      <c r="H282" s="215"/>
      <c r="I282" s="215"/>
      <c r="J282" s="215"/>
      <c r="K282" s="215"/>
      <c r="L282" s="171"/>
    </row>
    <row r="283" spans="1:12" ht="12.75">
      <c r="A283" s="171"/>
      <c r="B283" s="171"/>
      <c r="C283" s="38"/>
      <c r="D283" s="215"/>
      <c r="E283" s="215"/>
      <c r="F283" s="215"/>
      <c r="G283" s="215"/>
      <c r="H283" s="215"/>
      <c r="I283" s="215"/>
      <c r="J283" s="215"/>
      <c r="K283" s="215"/>
      <c r="L283" s="171"/>
    </row>
    <row r="284" spans="1:12" ht="12.75">
      <c r="A284" s="171"/>
      <c r="B284" s="171"/>
      <c r="C284" s="38"/>
      <c r="D284" s="215"/>
      <c r="E284" s="215"/>
      <c r="F284" s="215"/>
      <c r="G284" s="215"/>
      <c r="H284" s="215"/>
      <c r="I284" s="215"/>
      <c r="J284" s="215"/>
      <c r="K284" s="215"/>
      <c r="L284" s="171"/>
    </row>
    <row r="285" spans="1:12" ht="12.75">
      <c r="A285" s="171"/>
      <c r="B285" s="171"/>
      <c r="C285" s="38"/>
      <c r="D285" s="215"/>
      <c r="E285" s="215"/>
      <c r="F285" s="215"/>
      <c r="G285" s="215"/>
      <c r="H285" s="215"/>
      <c r="I285" s="215"/>
      <c r="J285" s="215"/>
      <c r="K285" s="215"/>
      <c r="L285" s="171"/>
    </row>
    <row r="286" spans="1:12" ht="12.75">
      <c r="A286" s="171"/>
      <c r="B286" s="171"/>
      <c r="C286" s="38"/>
      <c r="D286" s="215"/>
      <c r="E286" s="215"/>
      <c r="F286" s="215"/>
      <c r="G286" s="215"/>
      <c r="H286" s="215"/>
      <c r="I286" s="215"/>
      <c r="J286" s="215"/>
      <c r="K286" s="215"/>
      <c r="L286" s="171"/>
    </row>
    <row r="287" spans="1:12" ht="12.75">
      <c r="A287" s="171"/>
      <c r="B287" s="171"/>
      <c r="C287" s="38"/>
      <c r="D287" s="215"/>
      <c r="E287" s="215"/>
      <c r="F287" s="215"/>
      <c r="G287" s="215"/>
      <c r="H287" s="215"/>
      <c r="I287" s="215"/>
      <c r="J287" s="215"/>
      <c r="K287" s="215"/>
      <c r="L287" s="171"/>
    </row>
    <row r="288" spans="1:12" ht="12.75">
      <c r="A288" s="171"/>
      <c r="B288" s="171"/>
      <c r="C288" s="38"/>
      <c r="D288" s="215"/>
      <c r="E288" s="215"/>
      <c r="F288" s="215"/>
      <c r="G288" s="215"/>
      <c r="H288" s="215"/>
      <c r="I288" s="215"/>
      <c r="J288" s="215"/>
      <c r="K288" s="215"/>
      <c r="L288" s="171"/>
    </row>
    <row r="289" spans="1:12" ht="12.75">
      <c r="A289" s="171"/>
      <c r="B289" s="171"/>
      <c r="C289" s="38"/>
      <c r="D289" s="215"/>
      <c r="E289" s="215"/>
      <c r="F289" s="215"/>
      <c r="G289" s="215"/>
      <c r="H289" s="215"/>
      <c r="I289" s="215"/>
      <c r="J289" s="215"/>
      <c r="K289" s="215"/>
      <c r="L289" s="171"/>
    </row>
    <row r="290" spans="1:12" ht="12.75">
      <c r="A290" s="171"/>
      <c r="B290" s="171"/>
      <c r="C290" s="38"/>
      <c r="D290" s="215"/>
      <c r="E290" s="215"/>
      <c r="F290" s="215"/>
      <c r="G290" s="215"/>
      <c r="H290" s="215"/>
      <c r="I290" s="215"/>
      <c r="J290" s="215"/>
      <c r="K290" s="215"/>
      <c r="L290" s="171"/>
    </row>
    <row r="291" spans="1:12" ht="12.75">
      <c r="A291" s="171"/>
      <c r="B291" s="171"/>
      <c r="C291" s="38"/>
      <c r="D291" s="215"/>
      <c r="E291" s="215"/>
      <c r="F291" s="215"/>
      <c r="G291" s="215"/>
      <c r="H291" s="215"/>
      <c r="I291" s="215"/>
      <c r="J291" s="215"/>
      <c r="K291" s="215"/>
      <c r="L291" s="171"/>
    </row>
    <row r="292" spans="1:12" ht="12.75">
      <c r="A292" s="171"/>
      <c r="B292" s="171"/>
      <c r="C292" s="38"/>
      <c r="D292" s="215"/>
      <c r="E292" s="215"/>
      <c r="F292" s="215"/>
      <c r="G292" s="215"/>
      <c r="H292" s="215"/>
      <c r="I292" s="215"/>
      <c r="J292" s="215"/>
      <c r="K292" s="215"/>
      <c r="L292" s="171"/>
    </row>
    <row r="293" spans="1:13" ht="12.75">
      <c r="A293" s="171"/>
      <c r="B293" s="171"/>
      <c r="C293" s="171"/>
      <c r="D293" s="171"/>
      <c r="E293" s="38"/>
      <c r="F293" s="215"/>
      <c r="G293" s="215"/>
      <c r="H293" s="215"/>
      <c r="I293" s="215"/>
      <c r="J293" s="215"/>
      <c r="K293" s="215"/>
      <c r="L293" s="215"/>
      <c r="M293" s="30"/>
    </row>
    <row r="294" spans="5:13" ht="12.75">
      <c r="E294" s="37"/>
      <c r="F294" s="30"/>
      <c r="G294" s="30"/>
      <c r="H294" s="30"/>
      <c r="I294" s="30"/>
      <c r="J294" s="30"/>
      <c r="K294" s="30"/>
      <c r="L294" s="30"/>
      <c r="M294" s="30"/>
    </row>
    <row r="295" spans="5:13" ht="12.75">
      <c r="E295" s="37"/>
      <c r="F295" s="30"/>
      <c r="G295" s="30"/>
      <c r="H295" s="30"/>
      <c r="I295" s="30"/>
      <c r="J295" s="30"/>
      <c r="K295" s="30"/>
      <c r="L295" s="30"/>
      <c r="M295" s="30"/>
    </row>
    <row r="296" spans="5:13" ht="12.75">
      <c r="E296" s="37"/>
      <c r="F296" s="30"/>
      <c r="G296" s="30"/>
      <c r="H296" s="30"/>
      <c r="I296" s="30"/>
      <c r="J296" s="30"/>
      <c r="K296" s="30"/>
      <c r="L296" s="30"/>
      <c r="M296" s="30"/>
    </row>
    <row r="297" spans="5:13" ht="12.75">
      <c r="E297" s="37"/>
      <c r="F297" s="30"/>
      <c r="G297" s="30"/>
      <c r="H297" s="30"/>
      <c r="I297" s="30"/>
      <c r="J297" s="30"/>
      <c r="K297" s="30"/>
      <c r="L297" s="30"/>
      <c r="M297" s="30"/>
    </row>
    <row r="298" spans="5:13" ht="12.75">
      <c r="E298" s="37"/>
      <c r="F298" s="30"/>
      <c r="G298" s="30"/>
      <c r="H298" s="30"/>
      <c r="I298" s="30"/>
      <c r="J298" s="30"/>
      <c r="K298" s="30"/>
      <c r="L298" s="30"/>
      <c r="M298" s="30"/>
    </row>
    <row r="299" spans="5:13" ht="12.75">
      <c r="E299" s="37"/>
      <c r="F299" s="30"/>
      <c r="G299" s="30"/>
      <c r="H299" s="30"/>
      <c r="I299" s="30"/>
      <c r="J299" s="30"/>
      <c r="K299" s="30"/>
      <c r="L299" s="30"/>
      <c r="M299" s="30"/>
    </row>
  </sheetData>
  <sheetProtection/>
  <mergeCells count="9">
    <mergeCell ref="U191:V191"/>
    <mergeCell ref="X139:AA139"/>
    <mergeCell ref="H89:K89"/>
    <mergeCell ref="L89:O89"/>
    <mergeCell ref="T89:W89"/>
    <mergeCell ref="X89:AA89"/>
    <mergeCell ref="H139:K139"/>
    <mergeCell ref="L139:O139"/>
    <mergeCell ref="T139:W139"/>
  </mergeCells>
  <printOptions gridLines="1" horizontalCentered="1" verticalCentered="1"/>
  <pageMargins left="0.5" right="0.5" top="0.5" bottom="0.5" header="0" footer="0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AY189"/>
  <sheetViews>
    <sheetView zoomScalePageLayoutView="0" workbookViewId="0" topLeftCell="A1">
      <selection activeCell="G24" sqref="G24"/>
    </sheetView>
  </sheetViews>
  <sheetFormatPr defaultColWidth="9.140625" defaultRowHeight="12.75"/>
  <cols>
    <col min="3" max="3" width="14.8515625" style="0" customWidth="1"/>
    <col min="6" max="6" width="12.57421875" style="0" customWidth="1"/>
  </cols>
  <sheetData>
    <row r="1" spans="1:45" ht="12.7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</row>
    <row r="2" ht="13.5" thickBot="1"/>
    <row r="3" spans="3:13" ht="12.75">
      <c r="C3" s="404" t="s">
        <v>44</v>
      </c>
      <c r="D3" s="405"/>
      <c r="E3" s="79" t="s">
        <v>49</v>
      </c>
      <c r="F3" s="61"/>
      <c r="G3" s="61"/>
      <c r="H3" s="61"/>
      <c r="I3" s="62"/>
      <c r="K3" s="404" t="s">
        <v>167</v>
      </c>
      <c r="L3" s="405"/>
      <c r="M3" s="166" t="s">
        <v>49</v>
      </c>
    </row>
    <row r="4" spans="3:13" ht="13.5" thickBot="1">
      <c r="C4" s="64" t="s">
        <v>46</v>
      </c>
      <c r="D4" s="9" t="s">
        <v>45</v>
      </c>
      <c r="E4" s="9" t="s">
        <v>47</v>
      </c>
      <c r="F4" s="205" t="s">
        <v>286</v>
      </c>
      <c r="G4" s="9"/>
      <c r="H4" s="9"/>
      <c r="I4" s="10"/>
      <c r="K4" s="167"/>
      <c r="L4" s="205" t="s">
        <v>286</v>
      </c>
      <c r="M4" s="73"/>
    </row>
    <row r="5" spans="3:13" ht="13.5" thickBot="1">
      <c r="C5" s="69">
        <v>1</v>
      </c>
      <c r="D5" s="71">
        <v>1</v>
      </c>
      <c r="E5" s="70"/>
      <c r="F5" s="66">
        <v>1</v>
      </c>
      <c r="G5" s="9"/>
      <c r="H5" s="9"/>
      <c r="I5" s="10"/>
      <c r="K5" s="65"/>
      <c r="L5" s="9">
        <v>1</v>
      </c>
      <c r="M5" s="73"/>
    </row>
    <row r="6" spans="3:13" ht="12.75">
      <c r="C6" s="65" t="s">
        <v>9</v>
      </c>
      <c r="D6" s="9" t="s">
        <v>22</v>
      </c>
      <c r="E6" s="9">
        <v>185</v>
      </c>
      <c r="F6" s="395" t="s">
        <v>287</v>
      </c>
      <c r="G6" s="9"/>
      <c r="H6" s="9"/>
      <c r="I6" s="10"/>
      <c r="K6" s="65"/>
      <c r="L6" s="395" t="s">
        <v>287</v>
      </c>
      <c r="M6" s="73"/>
    </row>
    <row r="7" spans="3:13" ht="12.75">
      <c r="C7" s="65" t="s">
        <v>10</v>
      </c>
      <c r="D7" s="9" t="s">
        <v>23</v>
      </c>
      <c r="E7" s="9">
        <v>230</v>
      </c>
      <c r="F7" s="395" t="s">
        <v>288</v>
      </c>
      <c r="G7" s="9"/>
      <c r="H7" s="9"/>
      <c r="I7" s="10"/>
      <c r="K7" s="65"/>
      <c r="L7" s="395" t="s">
        <v>288</v>
      </c>
      <c r="M7" s="73"/>
    </row>
    <row r="8" spans="3:13" ht="12.75">
      <c r="C8" s="65" t="s">
        <v>11</v>
      </c>
      <c r="D8" s="9"/>
      <c r="E8" s="9"/>
      <c r="F8" s="66"/>
      <c r="G8" s="9"/>
      <c r="H8" s="9"/>
      <c r="I8" s="10"/>
      <c r="K8" s="65"/>
      <c r="M8" s="73"/>
    </row>
    <row r="9" spans="3:13" ht="12.75">
      <c r="C9" s="65" t="s">
        <v>12</v>
      </c>
      <c r="D9" s="9"/>
      <c r="E9" s="9"/>
      <c r="F9" s="66" t="s">
        <v>290</v>
      </c>
      <c r="G9" s="9"/>
      <c r="H9" s="9"/>
      <c r="I9" s="10"/>
      <c r="K9" s="65"/>
      <c r="L9" s="9" t="s">
        <v>290</v>
      </c>
      <c r="M9" s="73"/>
    </row>
    <row r="10" spans="3:13" ht="13.5" thickBot="1">
      <c r="C10" s="65" t="s">
        <v>13</v>
      </c>
      <c r="D10" s="9"/>
      <c r="E10" s="9"/>
      <c r="F10" s="66"/>
      <c r="G10" s="9"/>
      <c r="H10" s="9"/>
      <c r="I10" s="10"/>
      <c r="K10" s="67"/>
      <c r="L10" s="45"/>
      <c r="M10" s="159"/>
    </row>
    <row r="11" spans="3:9" ht="12.75">
      <c r="C11" s="65" t="s">
        <v>14</v>
      </c>
      <c r="D11" s="9"/>
      <c r="E11" s="9"/>
      <c r="F11" s="66"/>
      <c r="G11" s="9"/>
      <c r="H11" s="9"/>
      <c r="I11" s="10"/>
    </row>
    <row r="12" spans="3:9" ht="12.75">
      <c r="C12" s="65" t="s">
        <v>15</v>
      </c>
      <c r="D12" s="9"/>
      <c r="E12" s="9"/>
      <c r="F12" s="66"/>
      <c r="G12" s="9"/>
      <c r="H12" s="9"/>
      <c r="I12" s="10"/>
    </row>
    <row r="13" spans="3:9" ht="12.75">
      <c r="C13" s="65" t="s">
        <v>16</v>
      </c>
      <c r="D13" s="9"/>
      <c r="E13" s="9"/>
      <c r="F13" s="66"/>
      <c r="G13" s="9"/>
      <c r="H13" s="9"/>
      <c r="I13" s="10"/>
    </row>
    <row r="14" spans="3:9" ht="12.75">
      <c r="C14" s="65"/>
      <c r="D14" s="9"/>
      <c r="E14" s="9"/>
      <c r="F14" s="66"/>
      <c r="G14" s="9"/>
      <c r="H14" s="9"/>
      <c r="I14" s="10"/>
    </row>
    <row r="15" spans="3:9" ht="12.75">
      <c r="C15" s="65"/>
      <c r="D15" s="9"/>
      <c r="E15" s="9"/>
      <c r="F15" s="66"/>
      <c r="G15" s="9"/>
      <c r="H15" s="9"/>
      <c r="I15" s="10"/>
    </row>
    <row r="16" spans="3:9" ht="12.75">
      <c r="C16" s="65"/>
      <c r="D16" s="9"/>
      <c r="E16" s="9"/>
      <c r="F16" s="66"/>
      <c r="G16" s="9"/>
      <c r="H16" s="9"/>
      <c r="I16" s="10"/>
    </row>
    <row r="17" spans="3:9" ht="12.75">
      <c r="C17" s="167"/>
      <c r="D17" s="9"/>
      <c r="E17" s="9"/>
      <c r="F17" s="66"/>
      <c r="G17" s="9"/>
      <c r="H17" s="9"/>
      <c r="I17" s="10"/>
    </row>
    <row r="18" spans="3:9" ht="12.75">
      <c r="C18" s="65"/>
      <c r="D18" s="9"/>
      <c r="E18" s="9"/>
      <c r="F18" s="66"/>
      <c r="G18" s="9"/>
      <c r="H18" s="9"/>
      <c r="I18" s="10"/>
    </row>
    <row r="19" spans="3:9" ht="12.75">
      <c r="C19" s="65"/>
      <c r="D19" s="9"/>
      <c r="E19" s="9"/>
      <c r="F19" s="66"/>
      <c r="G19" s="9"/>
      <c r="H19" s="9"/>
      <c r="I19" s="10"/>
    </row>
    <row r="20" spans="3:9" ht="13.5" thickBot="1">
      <c r="C20" s="67"/>
      <c r="D20" s="45"/>
      <c r="E20" s="45"/>
      <c r="F20" s="68"/>
      <c r="G20" s="45"/>
      <c r="H20" s="45"/>
      <c r="I20" s="3"/>
    </row>
    <row r="25" ht="13.5" thickBot="1"/>
    <row r="26" spans="3:10" ht="12.75">
      <c r="C26" s="404" t="s">
        <v>44</v>
      </c>
      <c r="D26" s="405"/>
      <c r="E26" s="224" t="s">
        <v>38</v>
      </c>
      <c r="F26" s="61"/>
      <c r="G26" s="62"/>
      <c r="J26" t="s">
        <v>203</v>
      </c>
    </row>
    <row r="27" spans="3:7" ht="13.5" thickBot="1">
      <c r="C27" s="64" t="s">
        <v>46</v>
      </c>
      <c r="D27" s="9"/>
      <c r="E27" s="2"/>
      <c r="F27" s="2"/>
      <c r="G27" s="73"/>
    </row>
    <row r="28" spans="3:7" ht="13.5" thickBot="1">
      <c r="C28" s="69">
        <v>1</v>
      </c>
      <c r="D28" s="70"/>
      <c r="E28" s="9"/>
      <c r="F28" s="9"/>
      <c r="G28" s="10"/>
    </row>
    <row r="29" spans="3:7" ht="12.75">
      <c r="C29" s="65" t="s">
        <v>9</v>
      </c>
      <c r="D29" s="9"/>
      <c r="E29" s="66"/>
      <c r="F29" s="74"/>
      <c r="G29" s="75"/>
    </row>
    <row r="30" spans="3:7" ht="12.75">
      <c r="C30" s="65" t="s">
        <v>10</v>
      </c>
      <c r="D30" s="9"/>
      <c r="E30" s="66"/>
      <c r="F30" s="74"/>
      <c r="G30" s="75"/>
    </row>
    <row r="31" spans="3:7" ht="12.75">
      <c r="C31" s="65" t="s">
        <v>11</v>
      </c>
      <c r="D31" s="9"/>
      <c r="E31" s="66"/>
      <c r="F31" s="74"/>
      <c r="G31" s="75"/>
    </row>
    <row r="32" spans="3:7" ht="12.75">
      <c r="C32" s="65" t="s">
        <v>12</v>
      </c>
      <c r="D32" s="9"/>
      <c r="E32" s="66"/>
      <c r="F32" s="74"/>
      <c r="G32" s="75"/>
    </row>
    <row r="33" spans="3:7" ht="12.75">
      <c r="C33" s="65" t="s">
        <v>13</v>
      </c>
      <c r="D33" s="9"/>
      <c r="E33" s="66"/>
      <c r="F33" s="74"/>
      <c r="G33" s="75"/>
    </row>
    <row r="34" spans="3:7" ht="12.75">
      <c r="C34" s="65" t="s">
        <v>14</v>
      </c>
      <c r="D34" s="9"/>
      <c r="E34" s="66"/>
      <c r="F34" s="74"/>
      <c r="G34" s="75"/>
    </row>
    <row r="35" spans="3:7" ht="12.75">
      <c r="C35" s="65" t="s">
        <v>15</v>
      </c>
      <c r="D35" s="9"/>
      <c r="E35" s="66"/>
      <c r="F35" s="74"/>
      <c r="G35" s="75"/>
    </row>
    <row r="36" spans="3:7" ht="13.5" thickBot="1">
      <c r="C36" s="67" t="s">
        <v>16</v>
      </c>
      <c r="D36" s="45"/>
      <c r="E36" s="68"/>
      <c r="F36" s="77"/>
      <c r="G36" s="76"/>
    </row>
    <row r="41" ht="12.75">
      <c r="C41" s="223"/>
    </row>
    <row r="45" spans="3:7" ht="12.75">
      <c r="C45" s="18"/>
      <c r="D45" s="18"/>
      <c r="F45" s="18"/>
      <c r="G45" s="18"/>
    </row>
    <row r="46" spans="3:7" ht="12.75">
      <c r="C46" s="18"/>
      <c r="D46" s="18"/>
      <c r="F46" s="18"/>
      <c r="G46" s="18"/>
    </row>
    <row r="47" spans="3:7" ht="12.75">
      <c r="C47" s="39"/>
      <c r="D47" s="29"/>
      <c r="F47" s="39"/>
      <c r="G47" s="29"/>
    </row>
    <row r="48" spans="3:7" ht="12.75">
      <c r="C48" s="39"/>
      <c r="D48" s="29"/>
      <c r="F48" s="39"/>
      <c r="G48" s="29"/>
    </row>
    <row r="49" spans="3:7" ht="12.75">
      <c r="C49" s="39"/>
      <c r="D49" s="29"/>
      <c r="F49" s="39"/>
      <c r="G49" s="29"/>
    </row>
    <row r="50" spans="3:7" ht="12.75">
      <c r="C50" s="39"/>
      <c r="D50" s="29"/>
      <c r="F50" s="39"/>
      <c r="G50" s="29"/>
    </row>
    <row r="51" spans="3:7" ht="12.75">
      <c r="C51" s="39"/>
      <c r="D51" s="29"/>
      <c r="F51" s="39"/>
      <c r="G51" s="29"/>
    </row>
    <row r="52" spans="3:7" ht="12.75">
      <c r="C52" s="39"/>
      <c r="D52" s="29"/>
      <c r="F52" s="39"/>
      <c r="G52" s="29"/>
    </row>
    <row r="53" spans="3:7" ht="12.75">
      <c r="C53" s="39"/>
      <c r="D53" s="29"/>
      <c r="F53" s="39"/>
      <c r="G53" s="29"/>
    </row>
    <row r="54" spans="3:7" ht="12.75">
      <c r="C54" s="39"/>
      <c r="D54" s="29"/>
      <c r="F54" s="39"/>
      <c r="G54" s="29"/>
    </row>
    <row r="55" spans="3:7" ht="12.75">
      <c r="C55" s="39"/>
      <c r="D55" s="29"/>
      <c r="F55" s="39"/>
      <c r="G55" s="29"/>
    </row>
    <row r="56" spans="3:7" ht="12.75">
      <c r="C56" s="39"/>
      <c r="D56" s="29"/>
      <c r="F56" s="39"/>
      <c r="G56" s="29"/>
    </row>
    <row r="57" spans="3:7" ht="12.75">
      <c r="C57" s="39"/>
      <c r="D57" s="29"/>
      <c r="F57" s="39"/>
      <c r="G57" s="29"/>
    </row>
    <row r="58" spans="3:7" ht="12.75">
      <c r="C58" s="39"/>
      <c r="D58" s="29"/>
      <c r="F58" s="39"/>
      <c r="G58" s="29"/>
    </row>
    <row r="59" spans="3:7" ht="12.75">
      <c r="C59" s="40"/>
      <c r="D59" s="29"/>
      <c r="F59" s="40"/>
      <c r="G59" s="29"/>
    </row>
    <row r="65" spans="2:9" ht="12.75">
      <c r="B65" s="171"/>
      <c r="C65" s="38"/>
      <c r="D65" s="171"/>
      <c r="E65" s="171"/>
      <c r="F65" s="171"/>
      <c r="G65" s="171"/>
      <c r="H65" s="171"/>
      <c r="I65" s="171"/>
    </row>
    <row r="66" spans="2:9" ht="12.75">
      <c r="B66" s="171"/>
      <c r="C66" s="171"/>
      <c r="D66" s="171"/>
      <c r="E66" s="171"/>
      <c r="F66" s="171"/>
      <c r="G66" s="171"/>
      <c r="H66" s="171"/>
      <c r="I66" s="171"/>
    </row>
    <row r="67" spans="2:9" ht="12.75">
      <c r="B67" s="171"/>
      <c r="C67" s="38"/>
      <c r="D67" s="178"/>
      <c r="E67" s="171"/>
      <c r="F67" s="171"/>
      <c r="G67" s="171"/>
      <c r="H67" s="171"/>
      <c r="I67" s="171"/>
    </row>
    <row r="68" spans="2:9" ht="12.75">
      <c r="B68" s="171"/>
      <c r="C68" s="38"/>
      <c r="D68" s="178"/>
      <c r="E68" s="171"/>
      <c r="F68" s="171"/>
      <c r="G68" s="171"/>
      <c r="H68" s="171"/>
      <c r="I68" s="171"/>
    </row>
    <row r="69" spans="2:9" ht="12.75">
      <c r="B69" s="171"/>
      <c r="C69" s="38"/>
      <c r="D69" s="178"/>
      <c r="E69" s="171"/>
      <c r="F69" s="171"/>
      <c r="G69" s="171"/>
      <c r="H69" s="171"/>
      <c r="I69" s="171"/>
    </row>
    <row r="70" spans="2:9" ht="12.75">
      <c r="B70" s="171"/>
      <c r="C70" s="38"/>
      <c r="D70" s="178"/>
      <c r="E70" s="171"/>
      <c r="F70" s="171"/>
      <c r="G70" s="171"/>
      <c r="H70" s="171"/>
      <c r="I70" s="171"/>
    </row>
    <row r="71" spans="2:9" ht="12.75">
      <c r="B71" s="171"/>
      <c r="C71" s="38"/>
      <c r="D71" s="178"/>
      <c r="E71" s="171"/>
      <c r="F71" s="171"/>
      <c r="G71" s="171"/>
      <c r="H71" s="171"/>
      <c r="I71" s="171"/>
    </row>
    <row r="72" spans="2:9" ht="12.75">
      <c r="B72" s="171"/>
      <c r="C72" s="38"/>
      <c r="D72" s="178"/>
      <c r="E72" s="171"/>
      <c r="F72" s="171"/>
      <c r="G72" s="171"/>
      <c r="H72" s="171"/>
      <c r="I72" s="171"/>
    </row>
    <row r="73" spans="2:9" ht="12.75">
      <c r="B73" s="171"/>
      <c r="C73" s="38"/>
      <c r="D73" s="178"/>
      <c r="E73" s="171"/>
      <c r="F73" s="171"/>
      <c r="G73" s="171"/>
      <c r="H73" s="171"/>
      <c r="I73" s="171"/>
    </row>
    <row r="74" spans="2:9" ht="12.75">
      <c r="B74" s="171"/>
      <c r="C74" s="38"/>
      <c r="D74" s="178"/>
      <c r="E74" s="171"/>
      <c r="F74" s="171"/>
      <c r="G74" s="171"/>
      <c r="H74" s="171"/>
      <c r="I74" s="171"/>
    </row>
    <row r="75" spans="2:9" ht="12.75">
      <c r="B75" s="171"/>
      <c r="C75" s="38"/>
      <c r="D75" s="178"/>
      <c r="E75" s="171"/>
      <c r="F75" s="171"/>
      <c r="G75" s="171"/>
      <c r="H75" s="171"/>
      <c r="I75" s="171"/>
    </row>
    <row r="76" spans="2:9" ht="12.75">
      <c r="B76" s="171"/>
      <c r="C76" s="38"/>
      <c r="D76" s="178"/>
      <c r="E76" s="171"/>
      <c r="F76" s="171"/>
      <c r="G76" s="171"/>
      <c r="H76" s="171"/>
      <c r="I76" s="171"/>
    </row>
    <row r="77" spans="2:9" ht="12.75">
      <c r="B77" s="171"/>
      <c r="C77" s="38"/>
      <c r="D77" s="178"/>
      <c r="E77" s="171"/>
      <c r="F77" s="171"/>
      <c r="G77" s="171"/>
      <c r="H77" s="171"/>
      <c r="I77" s="171"/>
    </row>
    <row r="78" spans="2:9" ht="12.75">
      <c r="B78" s="171"/>
      <c r="C78" s="38"/>
      <c r="D78" s="178"/>
      <c r="E78" s="171"/>
      <c r="F78" s="171"/>
      <c r="G78" s="171"/>
      <c r="H78" s="171"/>
      <c r="I78" s="171"/>
    </row>
    <row r="79" spans="2:9" ht="12.75">
      <c r="B79" s="171"/>
      <c r="C79" s="38"/>
      <c r="D79" s="178"/>
      <c r="E79" s="171"/>
      <c r="F79" s="171"/>
      <c r="G79" s="171"/>
      <c r="H79" s="171"/>
      <c r="I79" s="171"/>
    </row>
    <row r="80" spans="2:9" ht="12.75">
      <c r="B80" s="171"/>
      <c r="C80" s="38"/>
      <c r="D80" s="178"/>
      <c r="E80" s="171"/>
      <c r="F80" s="171"/>
      <c r="G80" s="171"/>
      <c r="H80" s="171"/>
      <c r="I80" s="171"/>
    </row>
    <row r="81" spans="2:9" ht="12.75">
      <c r="B81" s="171"/>
      <c r="C81" s="38"/>
      <c r="D81" s="178"/>
      <c r="E81" s="171"/>
      <c r="F81" s="171"/>
      <c r="G81" s="171"/>
      <c r="H81" s="171"/>
      <c r="I81" s="171"/>
    </row>
    <row r="82" spans="2:9" ht="12.75">
      <c r="B82" s="171"/>
      <c r="C82" s="38"/>
      <c r="D82" s="178"/>
      <c r="E82" s="171"/>
      <c r="F82" s="171"/>
      <c r="G82" s="171"/>
      <c r="H82" s="171"/>
      <c r="I82" s="171"/>
    </row>
    <row r="83" spans="2:9" ht="12.75">
      <c r="B83" s="171"/>
      <c r="C83" s="38"/>
      <c r="D83" s="178"/>
      <c r="E83" s="171"/>
      <c r="F83" s="171"/>
      <c r="G83" s="171"/>
      <c r="H83" s="171"/>
      <c r="I83" s="171"/>
    </row>
    <row r="84" spans="2:9" ht="12.75">
      <c r="B84" s="171"/>
      <c r="C84" s="38"/>
      <c r="D84" s="178"/>
      <c r="E84" s="171"/>
      <c r="F84" s="171"/>
      <c r="G84" s="171"/>
      <c r="H84" s="171"/>
      <c r="I84" s="171"/>
    </row>
    <row r="85" spans="2:9" ht="12.75">
      <c r="B85" s="189"/>
      <c r="C85" s="41"/>
      <c r="D85" s="187"/>
      <c r="E85" s="189"/>
      <c r="F85" s="189"/>
      <c r="G85" s="171"/>
      <c r="H85" s="171"/>
      <c r="I85" s="171"/>
    </row>
    <row r="86" spans="2:6" ht="12.75">
      <c r="B86" s="59"/>
      <c r="C86" s="194"/>
      <c r="D86" s="195"/>
      <c r="E86" s="59"/>
      <c r="F86" s="59"/>
    </row>
    <row r="87" spans="2:6" ht="12.75">
      <c r="B87" s="59"/>
      <c r="C87" s="194"/>
      <c r="D87" s="195"/>
      <c r="E87" s="59"/>
      <c r="F87" s="59"/>
    </row>
    <row r="88" spans="2:6" ht="12.75">
      <c r="B88" s="59"/>
      <c r="C88" s="194"/>
      <c r="D88" s="195"/>
      <c r="E88" s="59"/>
      <c r="F88" s="59"/>
    </row>
    <row r="89" spans="2:6" ht="12.75">
      <c r="B89" s="59"/>
      <c r="C89" s="194"/>
      <c r="D89" s="195"/>
      <c r="E89" s="59"/>
      <c r="F89" s="59"/>
    </row>
    <row r="90" spans="2:6" ht="12.75">
      <c r="B90" s="59"/>
      <c r="C90" s="194"/>
      <c r="D90" s="195"/>
      <c r="E90" s="59"/>
      <c r="F90" s="59"/>
    </row>
    <row r="91" spans="2:6" ht="12.75">
      <c r="B91" s="59"/>
      <c r="C91" s="194"/>
      <c r="D91" s="195"/>
      <c r="E91" s="59"/>
      <c r="F91" s="59"/>
    </row>
    <row r="92" spans="2:6" ht="12.75">
      <c r="B92" s="59"/>
      <c r="C92" s="194"/>
      <c r="D92" s="169"/>
      <c r="E92" s="59"/>
      <c r="F92" s="59"/>
    </row>
    <row r="93" spans="2:6" ht="12.75">
      <c r="B93" s="59"/>
      <c r="C93" s="168"/>
      <c r="D93" s="169"/>
      <c r="E93" s="59"/>
      <c r="F93" s="59"/>
    </row>
    <row r="94" spans="2:6" ht="12.75">
      <c r="B94" s="59"/>
      <c r="C94" s="194"/>
      <c r="D94" s="196"/>
      <c r="E94" s="59"/>
      <c r="F94" s="59"/>
    </row>
    <row r="95" spans="2:6" ht="12.75">
      <c r="B95" s="59"/>
      <c r="C95" s="194"/>
      <c r="D95" s="196"/>
      <c r="E95" s="59"/>
      <c r="F95" s="59"/>
    </row>
    <row r="96" spans="2:6" ht="12.75">
      <c r="B96" s="59"/>
      <c r="C96" s="194"/>
      <c r="D96" s="196"/>
      <c r="E96" s="59"/>
      <c r="F96" s="59"/>
    </row>
    <row r="97" spans="2:6" ht="12.75">
      <c r="B97" s="59"/>
      <c r="C97" s="194"/>
      <c r="D97" s="196"/>
      <c r="E97" s="59"/>
      <c r="F97" s="59"/>
    </row>
    <row r="98" spans="2:6" ht="12.75">
      <c r="B98" s="59"/>
      <c r="C98" s="168"/>
      <c r="D98" s="169"/>
      <c r="E98" s="59"/>
      <c r="F98" s="59"/>
    </row>
    <row r="99" spans="2:6" ht="12.75">
      <c r="B99" s="59"/>
      <c r="C99" s="168"/>
      <c r="D99" s="169"/>
      <c r="E99" s="59"/>
      <c r="F99" s="59"/>
    </row>
    <row r="100" spans="2:6" ht="12.75">
      <c r="B100" s="59"/>
      <c r="C100" s="168"/>
      <c r="D100" s="169"/>
      <c r="E100" s="59"/>
      <c r="F100" s="59"/>
    </row>
    <row r="101" spans="2:6" ht="12.75">
      <c r="B101" s="59"/>
      <c r="C101" s="168"/>
      <c r="D101" s="169"/>
      <c r="E101" s="59"/>
      <c r="F101" s="59"/>
    </row>
    <row r="102" spans="2:6" ht="12.75">
      <c r="B102" s="59"/>
      <c r="C102" s="168"/>
      <c r="D102" s="169"/>
      <c r="E102" s="59"/>
      <c r="F102" s="59"/>
    </row>
    <row r="103" spans="2:6" ht="12.75">
      <c r="B103" s="59"/>
      <c r="C103" s="168"/>
      <c r="D103" s="169"/>
      <c r="E103" s="59"/>
      <c r="F103" s="59"/>
    </row>
    <row r="104" spans="2:6" ht="12.75">
      <c r="B104" s="59"/>
      <c r="C104" s="168"/>
      <c r="D104" s="169"/>
      <c r="E104" s="59"/>
      <c r="F104" s="59"/>
    </row>
    <row r="105" spans="2:6" ht="12.75">
      <c r="B105" s="59"/>
      <c r="C105" s="168"/>
      <c r="D105" s="169"/>
      <c r="E105" s="59"/>
      <c r="F105" s="59"/>
    </row>
    <row r="106" spans="2:6" ht="12.75">
      <c r="B106" s="59"/>
      <c r="C106" s="168"/>
      <c r="D106" s="169"/>
      <c r="E106" s="59"/>
      <c r="F106" s="59"/>
    </row>
    <row r="107" spans="2:6" ht="12.75">
      <c r="B107" s="59"/>
      <c r="C107" s="168"/>
      <c r="D107" s="169"/>
      <c r="E107" s="59"/>
      <c r="F107" s="59"/>
    </row>
    <row r="108" spans="2:6" ht="12.75">
      <c r="B108" s="59"/>
      <c r="C108" s="168"/>
      <c r="D108" s="169"/>
      <c r="E108" s="59"/>
      <c r="F108" s="59"/>
    </row>
    <row r="109" spans="2:6" ht="12.75">
      <c r="B109" s="59"/>
      <c r="C109" s="168"/>
      <c r="D109" s="169"/>
      <c r="E109" s="59"/>
      <c r="F109" s="59"/>
    </row>
    <row r="110" spans="2:6" ht="12.75">
      <c r="B110" s="59"/>
      <c r="C110" s="168"/>
      <c r="D110" s="169"/>
      <c r="E110" s="59"/>
      <c r="F110" s="59"/>
    </row>
    <row r="111" spans="2:6" ht="12.75">
      <c r="B111" s="59"/>
      <c r="C111" s="168"/>
      <c r="D111" s="169"/>
      <c r="E111" s="59"/>
      <c r="F111" s="59"/>
    </row>
    <row r="112" spans="2:6" ht="12.75">
      <c r="B112" s="59"/>
      <c r="C112" s="168"/>
      <c r="D112" s="169"/>
      <c r="E112" s="59"/>
      <c r="F112" s="59"/>
    </row>
    <row r="113" spans="2:6" ht="12.75">
      <c r="B113" s="59"/>
      <c r="C113" s="168"/>
      <c r="D113" s="169"/>
      <c r="E113" s="59"/>
      <c r="F113" s="59"/>
    </row>
    <row r="114" spans="2:6" ht="12.75">
      <c r="B114" s="59"/>
      <c r="C114" s="168"/>
      <c r="D114" s="169"/>
      <c r="E114" s="59"/>
      <c r="F114" s="59"/>
    </row>
    <row r="115" spans="2:6" ht="12.75">
      <c r="B115" s="59"/>
      <c r="C115" s="168"/>
      <c r="D115" s="169"/>
      <c r="E115" s="59"/>
      <c r="F115" s="59"/>
    </row>
    <row r="116" spans="2:6" ht="12.75">
      <c r="B116" s="59"/>
      <c r="C116" s="168"/>
      <c r="D116" s="169"/>
      <c r="E116" s="59"/>
      <c r="F116" s="59"/>
    </row>
    <row r="117" spans="2:6" ht="12.75">
      <c r="B117" s="59"/>
      <c r="C117" s="168"/>
      <c r="D117" s="169"/>
      <c r="E117" s="59"/>
      <c r="F117" s="59"/>
    </row>
    <row r="118" spans="2:6" ht="12.75">
      <c r="B118" s="59"/>
      <c r="C118" s="168"/>
      <c r="D118" s="169"/>
      <c r="E118" s="59"/>
      <c r="F118" s="59"/>
    </row>
    <row r="123" spans="2:18" ht="12.75"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</row>
    <row r="124" spans="2:18" ht="12.75">
      <c r="B124" s="189"/>
      <c r="C124" s="177"/>
      <c r="D124" s="189"/>
      <c r="E124" s="189"/>
      <c r="F124" s="189"/>
      <c r="G124" s="177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</row>
    <row r="125" spans="2:50" ht="12.75">
      <c r="B125" s="189"/>
      <c r="C125" s="184"/>
      <c r="D125" s="189"/>
      <c r="E125" s="189"/>
      <c r="F125" s="189"/>
      <c r="G125" s="184"/>
      <c r="H125" s="189"/>
      <c r="I125" s="189"/>
      <c r="J125" s="201"/>
      <c r="K125" s="200"/>
      <c r="L125" s="200"/>
      <c r="M125" s="200"/>
      <c r="N125" s="200"/>
      <c r="O125" s="200"/>
      <c r="P125" s="106"/>
      <c r="Q125" s="200"/>
      <c r="R125" s="200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29"/>
      <c r="AS125" s="29"/>
      <c r="AT125" s="29"/>
      <c r="AU125" s="31"/>
      <c r="AV125" s="31"/>
      <c r="AW125" s="31"/>
      <c r="AX125" s="31"/>
    </row>
    <row r="126" spans="2:51" ht="12.75">
      <c r="B126" s="189"/>
      <c r="C126" s="184"/>
      <c r="D126" s="189"/>
      <c r="E126" s="189"/>
      <c r="F126" s="189"/>
      <c r="G126" s="184"/>
      <c r="H126" s="189"/>
      <c r="I126" s="189"/>
      <c r="J126" s="201"/>
      <c r="K126" s="200"/>
      <c r="L126" s="200"/>
      <c r="M126" s="200"/>
      <c r="N126" s="200"/>
      <c r="O126" s="200"/>
      <c r="P126" s="106"/>
      <c r="Q126" s="200"/>
      <c r="R126" s="200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7"/>
      <c r="AK126" s="199"/>
      <c r="AL126" s="199"/>
      <c r="AM126" s="199"/>
      <c r="AN126" s="199"/>
      <c r="AO126" s="199"/>
      <c r="AP126" s="199"/>
      <c r="AQ126" s="199"/>
      <c r="AR126" s="198"/>
      <c r="AS126" s="198"/>
      <c r="AT126" s="198"/>
      <c r="AU126" s="199"/>
      <c r="AV126" s="199"/>
      <c r="AW126" s="199"/>
      <c r="AX126" s="199"/>
      <c r="AY126" s="203"/>
    </row>
    <row r="127" spans="2:51" ht="12.75">
      <c r="B127" s="189"/>
      <c r="C127" s="186"/>
      <c r="D127" s="186"/>
      <c r="E127" s="186"/>
      <c r="F127" s="189"/>
      <c r="G127" s="186"/>
      <c r="H127" s="186"/>
      <c r="I127" s="186"/>
      <c r="J127" s="189"/>
      <c r="K127" s="41"/>
      <c r="L127" s="106"/>
      <c r="M127" s="106"/>
      <c r="N127" s="106"/>
      <c r="O127" s="200"/>
      <c r="P127" s="106"/>
      <c r="Q127" s="106"/>
      <c r="R127" s="106"/>
      <c r="S127" s="199"/>
      <c r="T127" s="197"/>
      <c r="U127" s="197"/>
      <c r="V127" s="197"/>
      <c r="W127" s="199"/>
      <c r="X127" s="204"/>
      <c r="Y127" s="197"/>
      <c r="Z127" s="197"/>
      <c r="AA127" s="199"/>
      <c r="AB127" s="197"/>
      <c r="AC127" s="197"/>
      <c r="AD127" s="197"/>
      <c r="AE127" s="199"/>
      <c r="AF127" s="197"/>
      <c r="AG127" s="197"/>
      <c r="AH127" s="197"/>
      <c r="AI127" s="199"/>
      <c r="AJ127" s="197"/>
      <c r="AK127" s="197"/>
      <c r="AL127" s="197"/>
      <c r="AM127" s="199"/>
      <c r="AN127" s="48"/>
      <c r="AO127" s="48"/>
      <c r="AP127" s="48"/>
      <c r="AQ127" s="199"/>
      <c r="AR127" s="197"/>
      <c r="AS127" s="197"/>
      <c r="AT127" s="197"/>
      <c r="AU127" s="199"/>
      <c r="AV127" s="197"/>
      <c r="AW127" s="197"/>
      <c r="AX127" s="197"/>
      <c r="AY127" s="203"/>
    </row>
    <row r="128" spans="2:51" ht="12.75">
      <c r="B128" s="189"/>
      <c r="C128" s="184"/>
      <c r="D128" s="184"/>
      <c r="E128" s="184"/>
      <c r="F128" s="189"/>
      <c r="G128" s="184"/>
      <c r="H128" s="184"/>
      <c r="I128" s="184"/>
      <c r="J128" s="189"/>
      <c r="K128" s="41"/>
      <c r="L128" s="41"/>
      <c r="M128" s="41"/>
      <c r="N128" s="41"/>
      <c r="O128" s="200"/>
      <c r="P128" s="41"/>
      <c r="Q128" s="41"/>
      <c r="R128" s="41"/>
      <c r="S128" s="199"/>
      <c r="T128" s="198"/>
      <c r="U128" s="41"/>
      <c r="V128" s="198"/>
      <c r="W128" s="199"/>
      <c r="X128" s="198"/>
      <c r="Y128" s="41"/>
      <c r="Z128" s="198"/>
      <c r="AA128" s="199"/>
      <c r="AB128" s="198"/>
      <c r="AC128" s="41"/>
      <c r="AD128" s="198"/>
      <c r="AE128" s="199"/>
      <c r="AF128" s="198"/>
      <c r="AG128" s="198"/>
      <c r="AH128" s="198"/>
      <c r="AI128" s="199"/>
      <c r="AJ128" s="198"/>
      <c r="AK128" s="41"/>
      <c r="AL128" s="198"/>
      <c r="AM128" s="199"/>
      <c r="AN128" s="205"/>
      <c r="AO128" s="205"/>
      <c r="AP128" s="205"/>
      <c r="AQ128" s="199"/>
      <c r="AR128" s="198"/>
      <c r="AS128" s="198"/>
      <c r="AT128" s="198"/>
      <c r="AU128" s="199"/>
      <c r="AV128" s="198"/>
      <c r="AW128" s="198"/>
      <c r="AX128" s="198"/>
      <c r="AY128" s="203"/>
    </row>
    <row r="129" spans="2:51" ht="12.75">
      <c r="B129" s="189"/>
      <c r="C129" s="184"/>
      <c r="D129" s="184"/>
      <c r="E129" s="184"/>
      <c r="F129" s="189"/>
      <c r="G129" s="184"/>
      <c r="H129" s="184"/>
      <c r="I129" s="184"/>
      <c r="J129" s="189"/>
      <c r="K129" s="41"/>
      <c r="L129" s="41"/>
      <c r="M129" s="41"/>
      <c r="N129" s="41"/>
      <c r="O129" s="200"/>
      <c r="P129" s="41"/>
      <c r="Q129" s="41"/>
      <c r="R129" s="41"/>
      <c r="S129" s="199"/>
      <c r="T129" s="198"/>
      <c r="U129" s="41"/>
      <c r="V129" s="198"/>
      <c r="W129" s="199"/>
      <c r="X129" s="198"/>
      <c r="Y129" s="41"/>
      <c r="Z129" s="198"/>
      <c r="AA129" s="199"/>
      <c r="AB129" s="198"/>
      <c r="AC129" s="198"/>
      <c r="AD129" s="198"/>
      <c r="AE129" s="199"/>
      <c r="AF129" s="198"/>
      <c r="AG129" s="198"/>
      <c r="AH129" s="198"/>
      <c r="AI129" s="199"/>
      <c r="AJ129" s="198"/>
      <c r="AK129" s="41"/>
      <c r="AL129" s="198"/>
      <c r="AM129" s="199"/>
      <c r="AN129" s="205"/>
      <c r="AO129" s="205"/>
      <c r="AP129" s="205"/>
      <c r="AQ129" s="199"/>
      <c r="AR129" s="198"/>
      <c r="AS129" s="198"/>
      <c r="AT129" s="198"/>
      <c r="AU129" s="199"/>
      <c r="AV129" s="198"/>
      <c r="AW129" s="198"/>
      <c r="AX129" s="198"/>
      <c r="AY129" s="203"/>
    </row>
    <row r="130" spans="2:51" ht="12.75">
      <c r="B130" s="189"/>
      <c r="C130" s="184"/>
      <c r="D130" s="184"/>
      <c r="E130" s="184"/>
      <c r="F130" s="189"/>
      <c r="G130" s="184"/>
      <c r="H130" s="184"/>
      <c r="I130" s="184"/>
      <c r="J130" s="189"/>
      <c r="K130" s="41"/>
      <c r="L130" s="41"/>
      <c r="M130" s="41"/>
      <c r="N130" s="41"/>
      <c r="O130" s="200"/>
      <c r="P130" s="41"/>
      <c r="Q130" s="41"/>
      <c r="R130" s="41"/>
      <c r="S130" s="199"/>
      <c r="T130" s="198"/>
      <c r="U130" s="41"/>
      <c r="V130" s="198"/>
      <c r="W130" s="199"/>
      <c r="X130" s="198"/>
      <c r="Y130" s="41"/>
      <c r="Z130" s="198"/>
      <c r="AA130" s="199"/>
      <c r="AB130" s="198"/>
      <c r="AC130" s="41"/>
      <c r="AD130" s="198"/>
      <c r="AE130" s="199"/>
      <c r="AF130" s="198"/>
      <c r="AG130" s="198"/>
      <c r="AH130" s="198"/>
      <c r="AI130" s="199"/>
      <c r="AJ130" s="198"/>
      <c r="AK130" s="41"/>
      <c r="AL130" s="198"/>
      <c r="AM130" s="199"/>
      <c r="AN130" s="205"/>
      <c r="AO130" s="205"/>
      <c r="AP130" s="205"/>
      <c r="AQ130" s="199"/>
      <c r="AR130" s="198"/>
      <c r="AS130" s="198"/>
      <c r="AT130" s="198"/>
      <c r="AU130" s="199"/>
      <c r="AV130" s="198"/>
      <c r="AW130" s="198"/>
      <c r="AX130" s="198"/>
      <c r="AY130" s="203"/>
    </row>
    <row r="131" spans="2:51" ht="12.75">
      <c r="B131" s="189"/>
      <c r="C131" s="184"/>
      <c r="D131" s="184"/>
      <c r="E131" s="184"/>
      <c r="F131" s="189"/>
      <c r="G131" s="184"/>
      <c r="H131" s="184"/>
      <c r="I131" s="184"/>
      <c r="J131" s="189"/>
      <c r="K131" s="41"/>
      <c r="L131" s="41"/>
      <c r="M131" s="41"/>
      <c r="N131" s="41"/>
      <c r="O131" s="200"/>
      <c r="P131" s="41"/>
      <c r="Q131" s="41"/>
      <c r="R131" s="41"/>
      <c r="S131" s="199"/>
      <c r="T131" s="198"/>
      <c r="U131" s="41"/>
      <c r="V131" s="198"/>
      <c r="W131" s="199"/>
      <c r="X131" s="198"/>
      <c r="Y131" s="41"/>
      <c r="Z131" s="198"/>
      <c r="AA131" s="199"/>
      <c r="AB131" s="198"/>
      <c r="AC131" s="198"/>
      <c r="AD131" s="198"/>
      <c r="AE131" s="199"/>
      <c r="AF131" s="198"/>
      <c r="AG131" s="198"/>
      <c r="AH131" s="198"/>
      <c r="AI131" s="199"/>
      <c r="AJ131" s="198"/>
      <c r="AK131" s="41"/>
      <c r="AL131" s="198"/>
      <c r="AM131" s="199"/>
      <c r="AN131" s="205"/>
      <c r="AO131" s="205"/>
      <c r="AP131" s="205"/>
      <c r="AQ131" s="199"/>
      <c r="AR131" s="198"/>
      <c r="AS131" s="198"/>
      <c r="AT131" s="198"/>
      <c r="AU131" s="199"/>
      <c r="AV131" s="198"/>
      <c r="AW131" s="198"/>
      <c r="AX131" s="198"/>
      <c r="AY131" s="203"/>
    </row>
    <row r="132" spans="2:51" ht="12.75">
      <c r="B132" s="189"/>
      <c r="C132" s="184"/>
      <c r="D132" s="184"/>
      <c r="E132" s="184"/>
      <c r="F132" s="189"/>
      <c r="G132" s="184"/>
      <c r="H132" s="184"/>
      <c r="I132" s="184"/>
      <c r="J132" s="189"/>
      <c r="K132" s="200"/>
      <c r="L132" s="41"/>
      <c r="M132" s="41"/>
      <c r="N132" s="41"/>
      <c r="O132" s="200"/>
      <c r="P132" s="41"/>
      <c r="Q132" s="41"/>
      <c r="R132" s="41"/>
      <c r="S132" s="199"/>
      <c r="T132" s="198"/>
      <c r="U132" s="41"/>
      <c r="V132" s="198"/>
      <c r="W132" s="199"/>
      <c r="X132" s="198"/>
      <c r="Y132" s="41"/>
      <c r="Z132" s="198"/>
      <c r="AA132" s="199"/>
      <c r="AB132" s="198"/>
      <c r="AC132" s="198"/>
      <c r="AD132" s="198"/>
      <c r="AE132" s="199"/>
      <c r="AF132" s="198"/>
      <c r="AG132" s="198"/>
      <c r="AH132" s="198"/>
      <c r="AI132" s="199"/>
      <c r="AJ132" s="198"/>
      <c r="AK132" s="41"/>
      <c r="AL132" s="198"/>
      <c r="AM132" s="199"/>
      <c r="AN132" s="205"/>
      <c r="AO132" s="205"/>
      <c r="AP132" s="205"/>
      <c r="AQ132" s="199"/>
      <c r="AR132" s="198"/>
      <c r="AS132" s="198"/>
      <c r="AT132" s="198"/>
      <c r="AU132" s="199"/>
      <c r="AV132" s="198"/>
      <c r="AW132" s="198"/>
      <c r="AX132" s="198"/>
      <c r="AY132" s="203"/>
    </row>
    <row r="133" spans="2:51" ht="12.75">
      <c r="B133" s="189"/>
      <c r="C133" s="184"/>
      <c r="D133" s="184"/>
      <c r="E133" s="184"/>
      <c r="F133" s="189"/>
      <c r="G133" s="184"/>
      <c r="H133" s="184"/>
      <c r="I133" s="184"/>
      <c r="J133" s="189"/>
      <c r="K133" s="200"/>
      <c r="L133" s="41"/>
      <c r="M133" s="41"/>
      <c r="N133" s="41"/>
      <c r="O133" s="200"/>
      <c r="P133" s="41"/>
      <c r="Q133" s="41"/>
      <c r="R133" s="41"/>
      <c r="S133" s="199"/>
      <c r="T133" s="198"/>
      <c r="U133" s="41"/>
      <c r="V133" s="198"/>
      <c r="W133" s="199"/>
      <c r="X133" s="198"/>
      <c r="Y133" s="198"/>
      <c r="Z133" s="198"/>
      <c r="AA133" s="199"/>
      <c r="AB133" s="198"/>
      <c r="AC133" s="41"/>
      <c r="AD133" s="198"/>
      <c r="AE133" s="199"/>
      <c r="AF133" s="198"/>
      <c r="AG133" s="198"/>
      <c r="AH133" s="198"/>
      <c r="AI133" s="199"/>
      <c r="AJ133" s="198"/>
      <c r="AK133" s="41"/>
      <c r="AL133" s="198"/>
      <c r="AM133" s="199"/>
      <c r="AN133" s="205"/>
      <c r="AO133" s="205"/>
      <c r="AP133" s="205"/>
      <c r="AQ133" s="199"/>
      <c r="AR133" s="198"/>
      <c r="AS133" s="198"/>
      <c r="AT133" s="198"/>
      <c r="AU133" s="199"/>
      <c r="AV133" s="198"/>
      <c r="AW133" s="198"/>
      <c r="AX133" s="198"/>
      <c r="AY133" s="203"/>
    </row>
    <row r="134" spans="2:51" ht="12.75">
      <c r="B134" s="189"/>
      <c r="C134" s="184"/>
      <c r="D134" s="184"/>
      <c r="E134" s="184"/>
      <c r="F134" s="189"/>
      <c r="G134" s="184"/>
      <c r="H134" s="184"/>
      <c r="I134" s="184"/>
      <c r="J134" s="189"/>
      <c r="K134" s="200"/>
      <c r="L134" s="41"/>
      <c r="M134" s="41"/>
      <c r="N134" s="41"/>
      <c r="O134" s="200"/>
      <c r="P134" s="41"/>
      <c r="Q134" s="41"/>
      <c r="R134" s="41"/>
      <c r="S134" s="199"/>
      <c r="T134" s="198"/>
      <c r="U134" s="41"/>
      <c r="V134" s="198"/>
      <c r="W134" s="199"/>
      <c r="X134" s="198"/>
      <c r="Y134" s="198"/>
      <c r="Z134" s="198"/>
      <c r="AA134" s="199"/>
      <c r="AB134" s="198"/>
      <c r="AC134" s="198"/>
      <c r="AD134" s="198"/>
      <c r="AE134" s="199"/>
      <c r="AF134" s="198"/>
      <c r="AG134" s="198"/>
      <c r="AH134" s="198"/>
      <c r="AI134" s="199"/>
      <c r="AJ134" s="198"/>
      <c r="AK134" s="41"/>
      <c r="AL134" s="198"/>
      <c r="AM134" s="199"/>
      <c r="AN134" s="205"/>
      <c r="AO134" s="205"/>
      <c r="AP134" s="205"/>
      <c r="AQ134" s="199"/>
      <c r="AR134" s="198"/>
      <c r="AS134" s="198"/>
      <c r="AT134" s="198"/>
      <c r="AU134" s="199"/>
      <c r="AV134" s="198"/>
      <c r="AW134" s="198"/>
      <c r="AX134" s="198"/>
      <c r="AY134" s="203"/>
    </row>
    <row r="135" spans="2:51" ht="12.75">
      <c r="B135" s="189"/>
      <c r="C135" s="184"/>
      <c r="D135" s="184"/>
      <c r="E135" s="184"/>
      <c r="F135" s="189"/>
      <c r="G135" s="184"/>
      <c r="H135" s="184"/>
      <c r="I135" s="184"/>
      <c r="J135" s="189"/>
      <c r="K135" s="200"/>
      <c r="L135" s="41"/>
      <c r="M135" s="41"/>
      <c r="N135" s="41"/>
      <c r="O135" s="200"/>
      <c r="P135" s="41"/>
      <c r="Q135" s="41"/>
      <c r="R135" s="41"/>
      <c r="S135" s="199"/>
      <c r="T135" s="198"/>
      <c r="U135" s="41"/>
      <c r="V135" s="198"/>
      <c r="W135" s="199"/>
      <c r="X135" s="198"/>
      <c r="Y135" s="41"/>
      <c r="Z135" s="198"/>
      <c r="AA135" s="199"/>
      <c r="AB135" s="198"/>
      <c r="AC135" s="41"/>
      <c r="AD135" s="198"/>
      <c r="AE135" s="199"/>
      <c r="AF135" s="198"/>
      <c r="AG135" s="198"/>
      <c r="AH135" s="198"/>
      <c r="AI135" s="199"/>
      <c r="AJ135" s="198"/>
      <c r="AK135" s="41"/>
      <c r="AL135" s="198"/>
      <c r="AM135" s="199"/>
      <c r="AN135" s="205"/>
      <c r="AO135" s="205"/>
      <c r="AP135" s="205"/>
      <c r="AQ135" s="199"/>
      <c r="AR135" s="198"/>
      <c r="AS135" s="198"/>
      <c r="AT135" s="198"/>
      <c r="AU135" s="199"/>
      <c r="AV135" s="198"/>
      <c r="AW135" s="198"/>
      <c r="AX135" s="198"/>
      <c r="AY135" s="203"/>
    </row>
    <row r="136" spans="2:51" ht="12.75">
      <c r="B136" s="189"/>
      <c r="C136" s="184"/>
      <c r="D136" s="184"/>
      <c r="E136" s="184"/>
      <c r="F136" s="189"/>
      <c r="G136" s="184"/>
      <c r="H136" s="184"/>
      <c r="I136" s="184"/>
      <c r="J136" s="189"/>
      <c r="K136" s="200"/>
      <c r="L136" s="41"/>
      <c r="M136" s="41"/>
      <c r="N136" s="41"/>
      <c r="O136" s="200"/>
      <c r="P136" s="41"/>
      <c r="Q136" s="41"/>
      <c r="R136" s="200"/>
      <c r="S136" s="199"/>
      <c r="T136" s="198"/>
      <c r="U136" s="41"/>
      <c r="V136" s="198"/>
      <c r="W136" s="199"/>
      <c r="X136" s="198"/>
      <c r="Y136" s="41"/>
      <c r="Z136" s="198"/>
      <c r="AA136" s="199"/>
      <c r="AB136" s="198"/>
      <c r="AC136" s="198"/>
      <c r="AD136" s="198"/>
      <c r="AE136" s="199"/>
      <c r="AF136" s="198"/>
      <c r="AG136" s="198"/>
      <c r="AH136" s="198"/>
      <c r="AI136" s="199"/>
      <c r="AJ136" s="198"/>
      <c r="AK136" s="41"/>
      <c r="AL136" s="198"/>
      <c r="AM136" s="199"/>
      <c r="AN136" s="205"/>
      <c r="AO136" s="205"/>
      <c r="AP136" s="205"/>
      <c r="AQ136" s="199"/>
      <c r="AR136" s="198"/>
      <c r="AS136" s="198"/>
      <c r="AT136" s="198"/>
      <c r="AU136" s="199"/>
      <c r="AV136" s="198"/>
      <c r="AW136" s="198"/>
      <c r="AX136" s="198"/>
      <c r="AY136" s="203"/>
    </row>
    <row r="137" spans="2:51" ht="12.75">
      <c r="B137" s="189"/>
      <c r="C137" s="184"/>
      <c r="D137" s="184"/>
      <c r="E137" s="184"/>
      <c r="F137" s="189"/>
      <c r="G137" s="184"/>
      <c r="H137" s="184"/>
      <c r="I137" s="184"/>
      <c r="J137" s="189"/>
      <c r="K137" s="200"/>
      <c r="L137" s="41"/>
      <c r="M137" s="41"/>
      <c r="N137" s="41"/>
      <c r="O137" s="200"/>
      <c r="P137" s="41"/>
      <c r="Q137" s="41"/>
      <c r="R137" s="41"/>
      <c r="S137" s="199"/>
      <c r="T137" s="198"/>
      <c r="U137" s="41"/>
      <c r="V137" s="198"/>
      <c r="W137" s="199"/>
      <c r="X137" s="198"/>
      <c r="Y137" s="198"/>
      <c r="Z137" s="198"/>
      <c r="AA137" s="199"/>
      <c r="AB137" s="198"/>
      <c r="AC137" s="198"/>
      <c r="AD137" s="198"/>
      <c r="AE137" s="199"/>
      <c r="AF137" s="198"/>
      <c r="AG137" s="198"/>
      <c r="AH137" s="198"/>
      <c r="AI137" s="199"/>
      <c r="AJ137" s="198"/>
      <c r="AK137" s="41"/>
      <c r="AL137" s="198"/>
      <c r="AM137" s="199"/>
      <c r="AN137" s="205"/>
      <c r="AO137" s="205"/>
      <c r="AP137" s="205"/>
      <c r="AQ137" s="199"/>
      <c r="AR137" s="198"/>
      <c r="AS137" s="198"/>
      <c r="AT137" s="198"/>
      <c r="AU137" s="199"/>
      <c r="AV137" s="198"/>
      <c r="AW137" s="198"/>
      <c r="AX137" s="198"/>
      <c r="AY137" s="203"/>
    </row>
    <row r="138" spans="2:51" ht="12.75">
      <c r="B138" s="189"/>
      <c r="C138" s="184"/>
      <c r="D138" s="184"/>
      <c r="E138" s="184"/>
      <c r="F138" s="189"/>
      <c r="G138" s="184"/>
      <c r="H138" s="184"/>
      <c r="I138" s="184"/>
      <c r="J138" s="189"/>
      <c r="K138" s="200"/>
      <c r="L138" s="41"/>
      <c r="M138" s="41"/>
      <c r="N138" s="41"/>
      <c r="O138" s="200"/>
      <c r="P138" s="41"/>
      <c r="Q138" s="41"/>
      <c r="R138" s="41"/>
      <c r="S138" s="199"/>
      <c r="T138" s="198"/>
      <c r="U138" s="41"/>
      <c r="V138" s="198"/>
      <c r="W138" s="199"/>
      <c r="X138" s="198"/>
      <c r="Y138" s="198"/>
      <c r="Z138" s="198"/>
      <c r="AA138" s="199"/>
      <c r="AB138" s="198"/>
      <c r="AC138" s="41"/>
      <c r="AD138" s="198"/>
      <c r="AE138" s="199"/>
      <c r="AF138" s="198"/>
      <c r="AG138" s="198"/>
      <c r="AH138" s="198"/>
      <c r="AI138" s="199"/>
      <c r="AJ138" s="198"/>
      <c r="AK138" s="41"/>
      <c r="AL138" s="198"/>
      <c r="AM138" s="199"/>
      <c r="AN138" s="205"/>
      <c r="AO138" s="205"/>
      <c r="AP138" s="205"/>
      <c r="AQ138" s="199"/>
      <c r="AR138" s="198"/>
      <c r="AS138" s="198"/>
      <c r="AT138" s="198"/>
      <c r="AU138" s="199"/>
      <c r="AV138" s="198"/>
      <c r="AW138" s="198"/>
      <c r="AX138" s="198"/>
      <c r="AY138" s="203"/>
    </row>
    <row r="139" spans="2:51" ht="12.75">
      <c r="B139" s="189"/>
      <c r="C139" s="184"/>
      <c r="D139" s="184"/>
      <c r="E139" s="184"/>
      <c r="F139" s="189"/>
      <c r="G139" s="184"/>
      <c r="H139" s="184"/>
      <c r="I139" s="184"/>
      <c r="J139" s="189"/>
      <c r="K139" s="200"/>
      <c r="L139" s="41"/>
      <c r="M139" s="41"/>
      <c r="N139" s="41"/>
      <c r="O139" s="200"/>
      <c r="P139" s="41"/>
      <c r="Q139" s="41"/>
      <c r="R139" s="41"/>
      <c r="S139" s="199"/>
      <c r="T139" s="198"/>
      <c r="U139" s="41"/>
      <c r="V139" s="198"/>
      <c r="W139" s="199"/>
      <c r="X139" s="198"/>
      <c r="Y139" s="198"/>
      <c r="Z139" s="198"/>
      <c r="AA139" s="199"/>
      <c r="AB139" s="198"/>
      <c r="AC139" s="41"/>
      <c r="AD139" s="198"/>
      <c r="AE139" s="199"/>
      <c r="AF139" s="198"/>
      <c r="AG139" s="198"/>
      <c r="AH139" s="198"/>
      <c r="AI139" s="199"/>
      <c r="AJ139" s="198"/>
      <c r="AK139" s="41"/>
      <c r="AL139" s="198"/>
      <c r="AM139" s="199"/>
      <c r="AN139" s="205"/>
      <c r="AO139" s="205"/>
      <c r="AP139" s="205"/>
      <c r="AQ139" s="199"/>
      <c r="AR139" s="198"/>
      <c r="AS139" s="198"/>
      <c r="AT139" s="198"/>
      <c r="AU139" s="199"/>
      <c r="AV139" s="198"/>
      <c r="AW139" s="198"/>
      <c r="AX139" s="198"/>
      <c r="AY139" s="203"/>
    </row>
    <row r="140" spans="2:51" ht="12.75">
      <c r="B140" s="189"/>
      <c r="C140" s="184"/>
      <c r="D140" s="184"/>
      <c r="E140" s="184"/>
      <c r="F140" s="189"/>
      <c r="G140" s="184"/>
      <c r="H140" s="184"/>
      <c r="I140" s="184"/>
      <c r="J140" s="189"/>
      <c r="K140" s="200"/>
      <c r="L140" s="41"/>
      <c r="M140" s="41"/>
      <c r="N140" s="41"/>
      <c r="O140" s="200"/>
      <c r="P140" s="41"/>
      <c r="Q140" s="41"/>
      <c r="R140" s="41"/>
      <c r="S140" s="199"/>
      <c r="T140" s="198"/>
      <c r="U140" s="41"/>
      <c r="V140" s="198"/>
      <c r="W140" s="199"/>
      <c r="X140" s="198"/>
      <c r="Y140" s="41"/>
      <c r="Z140" s="198"/>
      <c r="AA140" s="199"/>
      <c r="AB140" s="198"/>
      <c r="AC140" s="41"/>
      <c r="AD140" s="198"/>
      <c r="AE140" s="199"/>
      <c r="AF140" s="198"/>
      <c r="AG140" s="198"/>
      <c r="AH140" s="198"/>
      <c r="AI140" s="199"/>
      <c r="AJ140" s="198"/>
      <c r="AK140" s="41"/>
      <c r="AL140" s="198"/>
      <c r="AM140" s="199"/>
      <c r="AN140" s="205"/>
      <c r="AO140" s="205"/>
      <c r="AP140" s="205"/>
      <c r="AQ140" s="199"/>
      <c r="AR140" s="198"/>
      <c r="AS140" s="198"/>
      <c r="AT140" s="198"/>
      <c r="AU140" s="199"/>
      <c r="AV140" s="198"/>
      <c r="AW140" s="198"/>
      <c r="AX140" s="198"/>
      <c r="AY140" s="203"/>
    </row>
    <row r="141" spans="2:51" ht="12.75">
      <c r="B141" s="189"/>
      <c r="C141" s="184"/>
      <c r="D141" s="184"/>
      <c r="E141" s="184"/>
      <c r="F141" s="189"/>
      <c r="G141" s="184"/>
      <c r="H141" s="184"/>
      <c r="I141" s="184"/>
      <c r="J141" s="189"/>
      <c r="K141" s="200"/>
      <c r="L141" s="41"/>
      <c r="M141" s="41"/>
      <c r="N141" s="41"/>
      <c r="O141" s="200"/>
      <c r="P141" s="41"/>
      <c r="Q141" s="41"/>
      <c r="R141" s="200"/>
      <c r="S141" s="199"/>
      <c r="T141" s="198"/>
      <c r="U141" s="41"/>
      <c r="V141" s="198"/>
      <c r="W141" s="199"/>
      <c r="X141" s="198"/>
      <c r="Y141" s="198"/>
      <c r="Z141" s="198"/>
      <c r="AA141" s="199"/>
      <c r="AB141" s="198"/>
      <c r="AC141" s="41"/>
      <c r="AD141" s="198"/>
      <c r="AE141" s="199"/>
      <c r="AF141" s="198"/>
      <c r="AG141" s="198"/>
      <c r="AH141" s="198"/>
      <c r="AI141" s="199"/>
      <c r="AJ141" s="198"/>
      <c r="AK141" s="41"/>
      <c r="AL141" s="198"/>
      <c r="AM141" s="199"/>
      <c r="AN141" s="205"/>
      <c r="AO141" s="205"/>
      <c r="AP141" s="205"/>
      <c r="AQ141" s="199"/>
      <c r="AR141" s="198"/>
      <c r="AS141" s="198"/>
      <c r="AT141" s="198"/>
      <c r="AU141" s="199"/>
      <c r="AV141" s="198"/>
      <c r="AW141" s="198"/>
      <c r="AX141" s="198"/>
      <c r="AY141" s="203"/>
    </row>
    <row r="142" spans="2:51" ht="12.75">
      <c r="B142" s="189"/>
      <c r="C142" s="184"/>
      <c r="D142" s="184"/>
      <c r="E142" s="184"/>
      <c r="F142" s="189"/>
      <c r="G142" s="184"/>
      <c r="H142" s="184"/>
      <c r="I142" s="184"/>
      <c r="J142" s="189"/>
      <c r="K142" s="200"/>
      <c r="L142" s="41"/>
      <c r="M142" s="41"/>
      <c r="N142" s="41"/>
      <c r="O142" s="200"/>
      <c r="P142" s="41"/>
      <c r="Q142" s="41"/>
      <c r="R142" s="200"/>
      <c r="S142" s="199"/>
      <c r="T142" s="199"/>
      <c r="U142" s="199"/>
      <c r="V142" s="199"/>
      <c r="W142" s="199"/>
      <c r="X142" s="198"/>
      <c r="Y142" s="41"/>
      <c r="Z142" s="198"/>
      <c r="AA142" s="199"/>
      <c r="AB142" s="198"/>
      <c r="AC142" s="41"/>
      <c r="AD142" s="198"/>
      <c r="AE142" s="199"/>
      <c r="AF142" s="198"/>
      <c r="AG142" s="198"/>
      <c r="AH142" s="198"/>
      <c r="AI142" s="199"/>
      <c r="AJ142" s="198"/>
      <c r="AK142" s="41"/>
      <c r="AL142" s="198"/>
      <c r="AM142" s="199"/>
      <c r="AN142" s="205"/>
      <c r="AO142" s="205"/>
      <c r="AP142" s="205"/>
      <c r="AQ142" s="199"/>
      <c r="AR142" s="198"/>
      <c r="AS142" s="198"/>
      <c r="AT142" s="198"/>
      <c r="AU142" s="199"/>
      <c r="AV142" s="198"/>
      <c r="AW142" s="198"/>
      <c r="AX142" s="198"/>
      <c r="AY142" s="203"/>
    </row>
    <row r="143" spans="2:51" ht="12.75">
      <c r="B143" s="189"/>
      <c r="C143" s="184"/>
      <c r="D143" s="184"/>
      <c r="E143" s="184"/>
      <c r="F143" s="189"/>
      <c r="G143" s="184"/>
      <c r="H143" s="184"/>
      <c r="I143" s="184"/>
      <c r="J143" s="189"/>
      <c r="K143" s="200"/>
      <c r="L143" s="41"/>
      <c r="M143" s="41"/>
      <c r="N143" s="41"/>
      <c r="O143" s="200"/>
      <c r="P143" s="41"/>
      <c r="Q143" s="41"/>
      <c r="R143" s="200"/>
      <c r="S143" s="199"/>
      <c r="T143" s="198"/>
      <c r="U143" s="199"/>
      <c r="V143" s="199"/>
      <c r="W143" s="199"/>
      <c r="X143" s="198"/>
      <c r="Y143" s="41"/>
      <c r="Z143" s="198"/>
      <c r="AA143" s="199"/>
      <c r="AB143" s="198"/>
      <c r="AC143" s="41"/>
      <c r="AD143" s="198"/>
      <c r="AE143" s="199"/>
      <c r="AF143" s="198"/>
      <c r="AG143" s="198"/>
      <c r="AH143" s="198"/>
      <c r="AI143" s="199"/>
      <c r="AJ143" s="198"/>
      <c r="AK143" s="41"/>
      <c r="AL143" s="198"/>
      <c r="AM143" s="199"/>
      <c r="AN143" s="177"/>
      <c r="AO143" s="177"/>
      <c r="AP143" s="205"/>
      <c r="AQ143" s="199"/>
      <c r="AR143" s="198"/>
      <c r="AS143" s="198"/>
      <c r="AT143" s="198"/>
      <c r="AU143" s="199"/>
      <c r="AV143" s="198"/>
      <c r="AW143" s="198"/>
      <c r="AX143" s="198"/>
      <c r="AY143" s="203"/>
    </row>
    <row r="144" spans="2:51" ht="12.75">
      <c r="B144" s="189"/>
      <c r="C144" s="184"/>
      <c r="D144" s="184"/>
      <c r="E144" s="184"/>
      <c r="F144" s="189"/>
      <c r="G144" s="184"/>
      <c r="H144" s="184"/>
      <c r="I144" s="184"/>
      <c r="J144" s="189"/>
      <c r="K144" s="200"/>
      <c r="L144" s="41"/>
      <c r="M144" s="41"/>
      <c r="N144" s="41"/>
      <c r="O144" s="200"/>
      <c r="P144" s="41"/>
      <c r="Q144" s="41"/>
      <c r="R144" s="41"/>
      <c r="S144" s="199"/>
      <c r="T144" s="199"/>
      <c r="U144" s="199"/>
      <c r="V144" s="199"/>
      <c r="W144" s="199"/>
      <c r="X144" s="198"/>
      <c r="Y144" s="198"/>
      <c r="Z144" s="198"/>
      <c r="AA144" s="199"/>
      <c r="AB144" s="198"/>
      <c r="AC144" s="198"/>
      <c r="AD144" s="198"/>
      <c r="AE144" s="199"/>
      <c r="AF144" s="198"/>
      <c r="AG144" s="198"/>
      <c r="AH144" s="198"/>
      <c r="AI144" s="199"/>
      <c r="AJ144" s="198"/>
      <c r="AK144" s="41"/>
      <c r="AL144" s="198"/>
      <c r="AM144" s="199"/>
      <c r="AN144" s="205"/>
      <c r="AO144" s="205"/>
      <c r="AP144" s="205"/>
      <c r="AQ144" s="199"/>
      <c r="AR144" s="198"/>
      <c r="AS144" s="198"/>
      <c r="AT144" s="198"/>
      <c r="AU144" s="199"/>
      <c r="AV144" s="198"/>
      <c r="AW144" s="198"/>
      <c r="AX144" s="198"/>
      <c r="AY144" s="203"/>
    </row>
    <row r="145" spans="2:51" ht="12.75">
      <c r="B145" s="189"/>
      <c r="C145" s="184"/>
      <c r="D145" s="184"/>
      <c r="E145" s="184"/>
      <c r="F145" s="189"/>
      <c r="G145" s="184"/>
      <c r="H145" s="184"/>
      <c r="I145" s="184"/>
      <c r="J145" s="189"/>
      <c r="K145" s="200"/>
      <c r="L145" s="41"/>
      <c r="M145" s="41"/>
      <c r="N145" s="41"/>
      <c r="O145" s="200"/>
      <c r="P145" s="41"/>
      <c r="Q145" s="41"/>
      <c r="R145" s="200"/>
      <c r="S145" s="199"/>
      <c r="T145" s="199"/>
      <c r="U145" s="199"/>
      <c r="V145" s="199"/>
      <c r="W145" s="199"/>
      <c r="X145" s="198"/>
      <c r="Y145" s="198"/>
      <c r="Z145" s="198"/>
      <c r="AA145" s="199"/>
      <c r="AB145" s="198"/>
      <c r="AC145" s="41"/>
      <c r="AD145" s="198"/>
      <c r="AE145" s="199"/>
      <c r="AF145" s="198"/>
      <c r="AG145" s="198"/>
      <c r="AH145" s="198"/>
      <c r="AI145" s="199"/>
      <c r="AJ145" s="198"/>
      <c r="AK145" s="41"/>
      <c r="AL145" s="198"/>
      <c r="AM145" s="199"/>
      <c r="AN145" s="177"/>
      <c r="AO145" s="177"/>
      <c r="AP145" s="205"/>
      <c r="AQ145" s="199"/>
      <c r="AR145" s="198"/>
      <c r="AS145" s="198"/>
      <c r="AT145" s="198"/>
      <c r="AU145" s="199"/>
      <c r="AV145" s="198"/>
      <c r="AW145" s="198"/>
      <c r="AX145" s="198"/>
      <c r="AY145" s="203"/>
    </row>
    <row r="146" spans="2:51" ht="12.75">
      <c r="B146" s="189"/>
      <c r="C146" s="184"/>
      <c r="D146" s="184"/>
      <c r="E146" s="184"/>
      <c r="F146" s="189"/>
      <c r="G146" s="184"/>
      <c r="H146" s="184"/>
      <c r="I146" s="184"/>
      <c r="J146" s="189"/>
      <c r="K146" s="200"/>
      <c r="L146" s="41"/>
      <c r="M146" s="41"/>
      <c r="N146" s="41"/>
      <c r="O146" s="200"/>
      <c r="P146" s="41"/>
      <c r="Q146" s="41"/>
      <c r="R146" s="200"/>
      <c r="S146" s="199"/>
      <c r="T146" s="199"/>
      <c r="U146" s="199"/>
      <c r="V146" s="199"/>
      <c r="W146" s="199"/>
      <c r="X146" s="198"/>
      <c r="Y146" s="41"/>
      <c r="Z146" s="198"/>
      <c r="AA146" s="199"/>
      <c r="AB146" s="198"/>
      <c r="AC146" s="198"/>
      <c r="AD146" s="198"/>
      <c r="AE146" s="199"/>
      <c r="AF146" s="198"/>
      <c r="AG146" s="198"/>
      <c r="AH146" s="198"/>
      <c r="AI146" s="199"/>
      <c r="AJ146" s="198"/>
      <c r="AK146" s="41"/>
      <c r="AL146" s="198"/>
      <c r="AM146" s="199"/>
      <c r="AN146" s="177"/>
      <c r="AO146" s="177"/>
      <c r="AP146" s="205"/>
      <c r="AQ146" s="199"/>
      <c r="AR146" s="198"/>
      <c r="AS146" s="198"/>
      <c r="AT146" s="198"/>
      <c r="AU146" s="199"/>
      <c r="AV146" s="198"/>
      <c r="AW146" s="198"/>
      <c r="AX146" s="198"/>
      <c r="AY146" s="203"/>
    </row>
    <row r="147" spans="2:51" ht="12.75">
      <c r="B147" s="189"/>
      <c r="C147" s="184"/>
      <c r="D147" s="184"/>
      <c r="E147" s="184"/>
      <c r="F147" s="189"/>
      <c r="G147" s="184"/>
      <c r="H147" s="184"/>
      <c r="I147" s="184"/>
      <c r="J147" s="189"/>
      <c r="K147" s="41"/>
      <c r="L147" s="41"/>
      <c r="M147" s="41"/>
      <c r="N147" s="41"/>
      <c r="O147" s="200"/>
      <c r="P147" s="41"/>
      <c r="Q147" s="41"/>
      <c r="R147" s="41"/>
      <c r="S147" s="199"/>
      <c r="T147" s="199"/>
      <c r="U147" s="199"/>
      <c r="V147" s="199"/>
      <c r="W147" s="199"/>
      <c r="X147" s="198"/>
      <c r="Y147" s="198"/>
      <c r="Z147" s="198"/>
      <c r="AA147" s="199"/>
      <c r="AB147" s="198"/>
      <c r="AC147" s="198"/>
      <c r="AD147" s="198"/>
      <c r="AE147" s="199"/>
      <c r="AF147" s="198"/>
      <c r="AG147" s="198"/>
      <c r="AH147" s="198"/>
      <c r="AI147" s="199"/>
      <c r="AJ147" s="198"/>
      <c r="AK147" s="41"/>
      <c r="AL147" s="198"/>
      <c r="AM147" s="199"/>
      <c r="AN147" s="177"/>
      <c r="AO147" s="177"/>
      <c r="AP147" s="205"/>
      <c r="AQ147" s="199"/>
      <c r="AR147" s="198"/>
      <c r="AS147" s="198"/>
      <c r="AT147" s="198"/>
      <c r="AU147" s="199"/>
      <c r="AV147" s="198"/>
      <c r="AW147" s="198"/>
      <c r="AX147" s="198"/>
      <c r="AY147" s="203"/>
    </row>
    <row r="148" spans="2:51" ht="12.75">
      <c r="B148" s="189"/>
      <c r="C148" s="184"/>
      <c r="D148" s="184"/>
      <c r="E148" s="184"/>
      <c r="F148" s="189"/>
      <c r="G148" s="184"/>
      <c r="H148" s="184"/>
      <c r="I148" s="184"/>
      <c r="J148" s="189"/>
      <c r="K148" s="41"/>
      <c r="L148" s="41"/>
      <c r="M148" s="41"/>
      <c r="N148" s="41"/>
      <c r="O148" s="200"/>
      <c r="P148" s="41"/>
      <c r="Q148" s="41"/>
      <c r="R148" s="200"/>
      <c r="S148" s="199"/>
      <c r="T148" s="199"/>
      <c r="U148" s="199"/>
      <c r="V148" s="199"/>
      <c r="W148" s="199"/>
      <c r="X148" s="198"/>
      <c r="Y148" s="198"/>
      <c r="Z148" s="198"/>
      <c r="AA148" s="199"/>
      <c r="AB148" s="198"/>
      <c r="AC148" s="41"/>
      <c r="AD148" s="198"/>
      <c r="AE148" s="199"/>
      <c r="AF148" s="198"/>
      <c r="AG148" s="198"/>
      <c r="AH148" s="198"/>
      <c r="AI148" s="199"/>
      <c r="AJ148" s="198"/>
      <c r="AK148" s="41"/>
      <c r="AL148" s="198"/>
      <c r="AM148" s="199"/>
      <c r="AN148" s="177"/>
      <c r="AO148" s="177"/>
      <c r="AP148" s="205"/>
      <c r="AQ148" s="199"/>
      <c r="AR148" s="198"/>
      <c r="AS148" s="198"/>
      <c r="AT148" s="198"/>
      <c r="AU148" s="199"/>
      <c r="AV148" s="198"/>
      <c r="AW148" s="198"/>
      <c r="AX148" s="198"/>
      <c r="AY148" s="203"/>
    </row>
    <row r="149" spans="2:51" ht="12.75">
      <c r="B149" s="189"/>
      <c r="C149" s="184"/>
      <c r="D149" s="184"/>
      <c r="E149" s="184"/>
      <c r="F149" s="189"/>
      <c r="G149" s="184"/>
      <c r="H149" s="184"/>
      <c r="I149" s="184"/>
      <c r="J149" s="189"/>
      <c r="K149" s="41"/>
      <c r="L149" s="41"/>
      <c r="M149" s="41"/>
      <c r="N149" s="41"/>
      <c r="O149" s="200"/>
      <c r="P149" s="41"/>
      <c r="Q149" s="41"/>
      <c r="R149" s="200"/>
      <c r="S149" s="199"/>
      <c r="T149" s="199"/>
      <c r="U149" s="199"/>
      <c r="V149" s="199"/>
      <c r="W149" s="199"/>
      <c r="X149" s="198"/>
      <c r="Y149" s="198"/>
      <c r="Z149" s="198"/>
      <c r="AA149" s="199"/>
      <c r="AB149" s="198"/>
      <c r="AC149" s="198"/>
      <c r="AD149" s="198"/>
      <c r="AE149" s="199"/>
      <c r="AF149" s="198"/>
      <c r="AG149" s="198"/>
      <c r="AH149" s="198"/>
      <c r="AI149" s="199"/>
      <c r="AJ149" s="198"/>
      <c r="AK149" s="41"/>
      <c r="AL149" s="198"/>
      <c r="AM149" s="199"/>
      <c r="AN149" s="177"/>
      <c r="AO149" s="177"/>
      <c r="AP149" s="205"/>
      <c r="AQ149" s="199"/>
      <c r="AR149" s="198"/>
      <c r="AS149" s="198"/>
      <c r="AT149" s="198"/>
      <c r="AU149" s="199"/>
      <c r="AV149" s="198"/>
      <c r="AW149" s="198"/>
      <c r="AX149" s="198"/>
      <c r="AY149" s="203"/>
    </row>
    <row r="150" spans="2:51" ht="12.75">
      <c r="B150" s="189"/>
      <c r="C150" s="184"/>
      <c r="D150" s="184"/>
      <c r="E150" s="184"/>
      <c r="F150" s="189"/>
      <c r="G150" s="184"/>
      <c r="H150" s="184"/>
      <c r="I150" s="184"/>
      <c r="J150" s="189"/>
      <c r="K150" s="41"/>
      <c r="L150" s="41"/>
      <c r="M150" s="41"/>
      <c r="N150" s="41"/>
      <c r="O150" s="200"/>
      <c r="P150" s="41"/>
      <c r="Q150" s="41"/>
      <c r="R150" s="200"/>
      <c r="S150" s="199"/>
      <c r="T150" s="199"/>
      <c r="U150" s="199"/>
      <c r="V150" s="199"/>
      <c r="W150" s="199"/>
      <c r="X150" s="198"/>
      <c r="Y150" s="198"/>
      <c r="Z150" s="198"/>
      <c r="AA150" s="199"/>
      <c r="AB150" s="198"/>
      <c r="AC150" s="41"/>
      <c r="AD150" s="198"/>
      <c r="AE150" s="199"/>
      <c r="AF150" s="198"/>
      <c r="AG150" s="198"/>
      <c r="AH150" s="198"/>
      <c r="AI150" s="199"/>
      <c r="AJ150" s="198"/>
      <c r="AK150" s="41"/>
      <c r="AL150" s="198"/>
      <c r="AM150" s="199"/>
      <c r="AN150" s="177"/>
      <c r="AO150" s="177"/>
      <c r="AP150" s="205"/>
      <c r="AQ150" s="199"/>
      <c r="AR150" s="198"/>
      <c r="AS150" s="198"/>
      <c r="AT150" s="198"/>
      <c r="AU150" s="199"/>
      <c r="AV150" s="198"/>
      <c r="AW150" s="198"/>
      <c r="AX150" s="198"/>
      <c r="AY150" s="203"/>
    </row>
    <row r="151" spans="2:51" ht="12.75">
      <c r="B151" s="189"/>
      <c r="C151" s="184"/>
      <c r="D151" s="184"/>
      <c r="E151" s="184"/>
      <c r="F151" s="189"/>
      <c r="G151" s="184"/>
      <c r="H151" s="184"/>
      <c r="I151" s="184"/>
      <c r="J151" s="189"/>
      <c r="K151" s="200"/>
      <c r="L151" s="41"/>
      <c r="M151" s="41"/>
      <c r="N151" s="41"/>
      <c r="O151" s="200"/>
      <c r="P151" s="200"/>
      <c r="Q151" s="200"/>
      <c r="R151" s="200"/>
      <c r="S151" s="199"/>
      <c r="T151" s="199"/>
      <c r="U151" s="199"/>
      <c r="V151" s="199"/>
      <c r="W151" s="199"/>
      <c r="X151" s="198"/>
      <c r="Y151" s="198"/>
      <c r="Z151" s="198"/>
      <c r="AA151" s="199"/>
      <c r="AB151" s="198"/>
      <c r="AC151" s="198"/>
      <c r="AD151" s="198"/>
      <c r="AE151" s="199"/>
      <c r="AF151" s="198"/>
      <c r="AG151" s="198"/>
      <c r="AH151" s="198"/>
      <c r="AI151" s="199"/>
      <c r="AJ151" s="198"/>
      <c r="AK151" s="41"/>
      <c r="AL151" s="198"/>
      <c r="AM151" s="199"/>
      <c r="AN151" s="177"/>
      <c r="AO151" s="177"/>
      <c r="AP151" s="205"/>
      <c r="AQ151" s="199"/>
      <c r="AR151" s="198"/>
      <c r="AS151" s="198"/>
      <c r="AT151" s="198"/>
      <c r="AU151" s="199"/>
      <c r="AV151" s="198"/>
      <c r="AW151" s="198"/>
      <c r="AX151" s="198"/>
      <c r="AY151" s="203"/>
    </row>
    <row r="152" spans="2:51" ht="12.75">
      <c r="B152" s="189"/>
      <c r="C152" s="184"/>
      <c r="D152" s="184"/>
      <c r="E152" s="184"/>
      <c r="F152" s="189"/>
      <c r="G152" s="184"/>
      <c r="H152" s="184"/>
      <c r="I152" s="184"/>
      <c r="J152" s="189"/>
      <c r="K152" s="41"/>
      <c r="L152" s="200"/>
      <c r="M152" s="200"/>
      <c r="N152" s="200"/>
      <c r="O152" s="200"/>
      <c r="P152" s="200"/>
      <c r="Q152" s="200"/>
      <c r="R152" s="200"/>
      <c r="S152" s="199"/>
      <c r="T152" s="199"/>
      <c r="U152" s="199"/>
      <c r="V152" s="199"/>
      <c r="W152" s="199"/>
      <c r="X152" s="198"/>
      <c r="Y152" s="198"/>
      <c r="Z152" s="198"/>
      <c r="AA152" s="199"/>
      <c r="AB152" s="198"/>
      <c r="AC152" s="198"/>
      <c r="AD152" s="198"/>
      <c r="AE152" s="199"/>
      <c r="AF152" s="198"/>
      <c r="AG152" s="198"/>
      <c r="AH152" s="198"/>
      <c r="AI152" s="199"/>
      <c r="AJ152" s="198"/>
      <c r="AK152" s="41"/>
      <c r="AL152" s="198"/>
      <c r="AM152" s="199"/>
      <c r="AN152" s="177"/>
      <c r="AO152" s="177"/>
      <c r="AP152" s="205"/>
      <c r="AQ152" s="199"/>
      <c r="AR152" s="198"/>
      <c r="AS152" s="198"/>
      <c r="AT152" s="198"/>
      <c r="AU152" s="199"/>
      <c r="AV152" s="198"/>
      <c r="AW152" s="198"/>
      <c r="AX152" s="198"/>
      <c r="AY152" s="203"/>
    </row>
    <row r="153" spans="2:51" ht="12.75">
      <c r="B153" s="189"/>
      <c r="C153" s="184"/>
      <c r="D153" s="184"/>
      <c r="E153" s="184"/>
      <c r="F153" s="189"/>
      <c r="G153" s="184"/>
      <c r="H153" s="184"/>
      <c r="I153" s="184"/>
      <c r="J153" s="189"/>
      <c r="K153" s="41"/>
      <c r="L153" s="200"/>
      <c r="M153" s="200"/>
      <c r="N153" s="200"/>
      <c r="O153" s="200"/>
      <c r="P153" s="200"/>
      <c r="Q153" s="200"/>
      <c r="R153" s="200"/>
      <c r="S153" s="199"/>
      <c r="T153" s="199"/>
      <c r="U153" s="199"/>
      <c r="V153" s="199"/>
      <c r="W153" s="199"/>
      <c r="X153" s="198"/>
      <c r="Y153" s="41"/>
      <c r="Z153" s="198"/>
      <c r="AA153" s="199"/>
      <c r="AB153" s="198"/>
      <c r="AC153" s="41"/>
      <c r="AD153" s="198"/>
      <c r="AE153" s="199"/>
      <c r="AF153" s="198"/>
      <c r="AG153" s="198"/>
      <c r="AH153" s="198"/>
      <c r="AI153" s="199"/>
      <c r="AJ153" s="198"/>
      <c r="AK153" s="41"/>
      <c r="AL153" s="198"/>
      <c r="AM153" s="199"/>
      <c r="AN153" s="177"/>
      <c r="AO153" s="177"/>
      <c r="AP153" s="205"/>
      <c r="AQ153" s="199"/>
      <c r="AR153" s="198"/>
      <c r="AS153" s="198"/>
      <c r="AT153" s="198"/>
      <c r="AU153" s="199"/>
      <c r="AV153" s="198"/>
      <c r="AW153" s="198"/>
      <c r="AX153" s="198"/>
      <c r="AY153" s="203"/>
    </row>
    <row r="154" spans="2:51" ht="12.75">
      <c r="B154" s="189"/>
      <c r="C154" s="184"/>
      <c r="D154" s="184"/>
      <c r="E154" s="184"/>
      <c r="F154" s="189"/>
      <c r="G154" s="184"/>
      <c r="H154" s="184"/>
      <c r="I154" s="184"/>
      <c r="J154" s="189"/>
      <c r="K154" s="41"/>
      <c r="L154" s="200"/>
      <c r="M154" s="200"/>
      <c r="N154" s="200"/>
      <c r="O154" s="200"/>
      <c r="P154" s="200"/>
      <c r="Q154" s="200"/>
      <c r="R154" s="200"/>
      <c r="S154" s="199"/>
      <c r="T154" s="199"/>
      <c r="U154" s="199"/>
      <c r="V154" s="199"/>
      <c r="W154" s="199"/>
      <c r="X154" s="198"/>
      <c r="Y154" s="198"/>
      <c r="Z154" s="198"/>
      <c r="AA154" s="199"/>
      <c r="AB154" s="198"/>
      <c r="AC154" s="41"/>
      <c r="AD154" s="198"/>
      <c r="AE154" s="199"/>
      <c r="AF154" s="198"/>
      <c r="AG154" s="198"/>
      <c r="AH154" s="198"/>
      <c r="AI154" s="199"/>
      <c r="AJ154" s="198"/>
      <c r="AK154" s="41"/>
      <c r="AL154" s="198"/>
      <c r="AM154" s="199"/>
      <c r="AN154" s="177"/>
      <c r="AO154" s="177"/>
      <c r="AP154" s="205"/>
      <c r="AQ154" s="199"/>
      <c r="AR154" s="198"/>
      <c r="AS154" s="198"/>
      <c r="AT154" s="198"/>
      <c r="AU154" s="199"/>
      <c r="AV154" s="198"/>
      <c r="AW154" s="198"/>
      <c r="AX154" s="198"/>
      <c r="AY154" s="203"/>
    </row>
    <row r="155" spans="2:51" ht="12.75">
      <c r="B155" s="189"/>
      <c r="C155" s="184"/>
      <c r="D155" s="184"/>
      <c r="E155" s="184"/>
      <c r="F155" s="189"/>
      <c r="G155" s="184"/>
      <c r="H155" s="184"/>
      <c r="I155" s="184"/>
      <c r="J155" s="189"/>
      <c r="K155" s="41"/>
      <c r="L155" s="41"/>
      <c r="M155" s="200"/>
      <c r="N155" s="200"/>
      <c r="O155" s="200"/>
      <c r="P155" s="200"/>
      <c r="Q155" s="200"/>
      <c r="R155" s="200"/>
      <c r="S155" s="199"/>
      <c r="T155" s="199"/>
      <c r="U155" s="199"/>
      <c r="V155" s="199"/>
      <c r="W155" s="199"/>
      <c r="X155" s="198"/>
      <c r="Y155" s="198"/>
      <c r="Z155" s="198"/>
      <c r="AA155" s="199"/>
      <c r="AB155" s="198"/>
      <c r="AC155" s="41"/>
      <c r="AD155" s="198"/>
      <c r="AE155" s="199"/>
      <c r="AF155" s="198"/>
      <c r="AG155" s="198"/>
      <c r="AH155" s="198"/>
      <c r="AI155" s="199"/>
      <c r="AJ155" s="198"/>
      <c r="AK155" s="41"/>
      <c r="AL155" s="198"/>
      <c r="AM155" s="199"/>
      <c r="AN155" s="177"/>
      <c r="AO155" s="177"/>
      <c r="AP155" s="205"/>
      <c r="AQ155" s="199"/>
      <c r="AR155" s="198"/>
      <c r="AS155" s="198"/>
      <c r="AT155" s="198"/>
      <c r="AU155" s="199"/>
      <c r="AV155" s="198"/>
      <c r="AW155" s="198"/>
      <c r="AX155" s="198"/>
      <c r="AY155" s="203"/>
    </row>
    <row r="156" spans="2:51" ht="12.75">
      <c r="B156" s="189"/>
      <c r="C156" s="184"/>
      <c r="D156" s="184"/>
      <c r="E156" s="184"/>
      <c r="F156" s="189"/>
      <c r="G156" s="184"/>
      <c r="H156" s="184"/>
      <c r="I156" s="184"/>
      <c r="J156" s="189"/>
      <c r="K156" s="41"/>
      <c r="L156" s="41"/>
      <c r="M156" s="200"/>
      <c r="N156" s="200"/>
      <c r="O156" s="200"/>
      <c r="P156" s="200"/>
      <c r="Q156" s="200"/>
      <c r="R156" s="200"/>
      <c r="S156" s="199"/>
      <c r="T156" s="199"/>
      <c r="U156" s="199"/>
      <c r="V156" s="199"/>
      <c r="W156" s="199"/>
      <c r="X156" s="198"/>
      <c r="Y156" s="198"/>
      <c r="Z156" s="198"/>
      <c r="AA156" s="199"/>
      <c r="AB156" s="198"/>
      <c r="AC156" s="41"/>
      <c r="AD156" s="198"/>
      <c r="AE156" s="199"/>
      <c r="AF156" s="198"/>
      <c r="AG156" s="198"/>
      <c r="AH156" s="198"/>
      <c r="AI156" s="199"/>
      <c r="AJ156" s="198"/>
      <c r="AK156" s="41"/>
      <c r="AL156" s="198"/>
      <c r="AM156" s="199"/>
      <c r="AN156" s="177"/>
      <c r="AO156" s="177"/>
      <c r="AP156" s="205"/>
      <c r="AQ156" s="199"/>
      <c r="AR156" s="198"/>
      <c r="AS156" s="198"/>
      <c r="AT156" s="198"/>
      <c r="AU156" s="199"/>
      <c r="AV156" s="198"/>
      <c r="AW156" s="198"/>
      <c r="AX156" s="198"/>
      <c r="AY156" s="203"/>
    </row>
    <row r="157" spans="2:51" ht="12.75">
      <c r="B157" s="189"/>
      <c r="C157" s="184"/>
      <c r="D157" s="184"/>
      <c r="E157" s="184"/>
      <c r="F157" s="189"/>
      <c r="G157" s="184"/>
      <c r="H157" s="184"/>
      <c r="I157" s="184"/>
      <c r="J157" s="189"/>
      <c r="K157" s="41"/>
      <c r="L157" s="200"/>
      <c r="M157" s="200"/>
      <c r="N157" s="200"/>
      <c r="O157" s="200"/>
      <c r="P157" s="200"/>
      <c r="Q157" s="200"/>
      <c r="R157" s="200"/>
      <c r="S157" s="199"/>
      <c r="T157" s="199"/>
      <c r="U157" s="199"/>
      <c r="V157" s="199"/>
      <c r="W157" s="199"/>
      <c r="X157" s="198"/>
      <c r="Y157" s="198"/>
      <c r="Z157" s="198"/>
      <c r="AA157" s="199"/>
      <c r="AB157" s="198"/>
      <c r="AC157" s="41"/>
      <c r="AD157" s="198"/>
      <c r="AE157" s="199"/>
      <c r="AF157" s="198"/>
      <c r="AG157" s="198"/>
      <c r="AH157" s="198"/>
      <c r="AI157" s="199"/>
      <c r="AJ157" s="198"/>
      <c r="AK157" s="41"/>
      <c r="AL157" s="198"/>
      <c r="AM157" s="199"/>
      <c r="AN157" s="177"/>
      <c r="AO157" s="177"/>
      <c r="AP157" s="205"/>
      <c r="AQ157" s="199"/>
      <c r="AR157" s="198"/>
      <c r="AS157" s="198"/>
      <c r="AT157" s="198"/>
      <c r="AU157" s="199"/>
      <c r="AV157" s="198"/>
      <c r="AW157" s="198"/>
      <c r="AX157" s="198"/>
      <c r="AY157" s="203"/>
    </row>
    <row r="158" spans="2:51" ht="12.75">
      <c r="B158" s="189"/>
      <c r="C158" s="184"/>
      <c r="D158" s="184"/>
      <c r="E158" s="184"/>
      <c r="F158" s="189"/>
      <c r="G158" s="184"/>
      <c r="H158" s="184"/>
      <c r="I158" s="184"/>
      <c r="J158" s="189"/>
      <c r="K158" s="41"/>
      <c r="L158" s="41"/>
      <c r="M158" s="200"/>
      <c r="N158" s="200"/>
      <c r="O158" s="200"/>
      <c r="P158" s="200"/>
      <c r="Q158" s="200"/>
      <c r="R158" s="200"/>
      <c r="S158" s="199"/>
      <c r="T158" s="199"/>
      <c r="U158" s="199"/>
      <c r="V158" s="199"/>
      <c r="W158" s="199"/>
      <c r="X158" s="198"/>
      <c r="Y158" s="198"/>
      <c r="Z158" s="198"/>
      <c r="AA158" s="199"/>
      <c r="AB158" s="199"/>
      <c r="AC158" s="199"/>
      <c r="AD158" s="199"/>
      <c r="AE158" s="199"/>
      <c r="AF158" s="198"/>
      <c r="AG158" s="198"/>
      <c r="AH158" s="198"/>
      <c r="AI158" s="199"/>
      <c r="AJ158" s="198"/>
      <c r="AK158" s="41"/>
      <c r="AL158" s="198"/>
      <c r="AM158" s="199"/>
      <c r="AN158" s="177"/>
      <c r="AO158" s="177"/>
      <c r="AP158" s="205"/>
      <c r="AQ158" s="199"/>
      <c r="AR158" s="198"/>
      <c r="AS158" s="198"/>
      <c r="AT158" s="198"/>
      <c r="AU158" s="199"/>
      <c r="AV158" s="198"/>
      <c r="AW158" s="198"/>
      <c r="AX158" s="198"/>
      <c r="AY158" s="203"/>
    </row>
    <row r="159" spans="2:51" ht="12.75">
      <c r="B159" s="189"/>
      <c r="C159" s="184"/>
      <c r="D159" s="184"/>
      <c r="E159" s="184"/>
      <c r="F159" s="189"/>
      <c r="G159" s="184"/>
      <c r="H159" s="184"/>
      <c r="I159" s="184"/>
      <c r="J159" s="189"/>
      <c r="K159" s="41"/>
      <c r="L159" s="41"/>
      <c r="M159" s="200"/>
      <c r="N159" s="200"/>
      <c r="O159" s="200"/>
      <c r="P159" s="200"/>
      <c r="Q159" s="200"/>
      <c r="R159" s="200"/>
      <c r="S159" s="199"/>
      <c r="T159" s="199"/>
      <c r="U159" s="199"/>
      <c r="V159" s="199"/>
      <c r="W159" s="199"/>
      <c r="X159" s="198"/>
      <c r="Y159" s="198"/>
      <c r="Z159" s="198"/>
      <c r="AA159" s="199"/>
      <c r="AB159" s="199"/>
      <c r="AC159" s="199"/>
      <c r="AD159" s="199"/>
      <c r="AE159" s="199"/>
      <c r="AF159" s="198"/>
      <c r="AG159" s="198"/>
      <c r="AH159" s="198"/>
      <c r="AI159" s="199"/>
      <c r="AJ159" s="198"/>
      <c r="AK159" s="41"/>
      <c r="AL159" s="198"/>
      <c r="AM159" s="199"/>
      <c r="AN159" s="177"/>
      <c r="AO159" s="177"/>
      <c r="AP159" s="205"/>
      <c r="AQ159" s="199"/>
      <c r="AR159" s="198"/>
      <c r="AS159" s="198"/>
      <c r="AT159" s="198"/>
      <c r="AU159" s="199"/>
      <c r="AV159" s="198"/>
      <c r="AW159" s="198"/>
      <c r="AX159" s="198"/>
      <c r="AY159" s="203"/>
    </row>
    <row r="160" spans="2:51" ht="12.75">
      <c r="B160" s="189"/>
      <c r="C160" s="184"/>
      <c r="D160" s="184"/>
      <c r="E160" s="184"/>
      <c r="F160" s="189"/>
      <c r="G160" s="184"/>
      <c r="H160" s="184"/>
      <c r="I160" s="184"/>
      <c r="J160" s="189"/>
      <c r="K160" s="41"/>
      <c r="L160" s="41"/>
      <c r="M160" s="200"/>
      <c r="N160" s="200"/>
      <c r="O160" s="200"/>
      <c r="P160" s="200"/>
      <c r="Q160" s="200"/>
      <c r="R160" s="200"/>
      <c r="S160" s="199"/>
      <c r="T160" s="199"/>
      <c r="U160" s="199"/>
      <c r="V160" s="199"/>
      <c r="W160" s="199"/>
      <c r="X160" s="198"/>
      <c r="Y160" s="198"/>
      <c r="Z160" s="198"/>
      <c r="AA160" s="199"/>
      <c r="AB160" s="199"/>
      <c r="AC160" s="199"/>
      <c r="AD160" s="199"/>
      <c r="AE160" s="199"/>
      <c r="AF160" s="198"/>
      <c r="AG160" s="198"/>
      <c r="AH160" s="198"/>
      <c r="AI160" s="199"/>
      <c r="AJ160" s="198"/>
      <c r="AK160" s="41"/>
      <c r="AL160" s="206"/>
      <c r="AM160" s="199"/>
      <c r="AN160" s="177"/>
      <c r="AO160" s="177"/>
      <c r="AP160" s="205"/>
      <c r="AQ160" s="199"/>
      <c r="AR160" s="198"/>
      <c r="AS160" s="198"/>
      <c r="AT160" s="198"/>
      <c r="AU160" s="199"/>
      <c r="AV160" s="198"/>
      <c r="AW160" s="198"/>
      <c r="AX160" s="198"/>
      <c r="AY160" s="203"/>
    </row>
    <row r="161" spans="2:51" ht="12.75">
      <c r="B161" s="189"/>
      <c r="C161" s="184"/>
      <c r="D161" s="184"/>
      <c r="E161" s="184"/>
      <c r="F161" s="189"/>
      <c r="G161" s="184"/>
      <c r="H161" s="184"/>
      <c r="I161" s="184"/>
      <c r="J161" s="189"/>
      <c r="K161" s="41"/>
      <c r="L161" s="41"/>
      <c r="M161" s="200"/>
      <c r="N161" s="200"/>
      <c r="O161" s="200"/>
      <c r="P161" s="200"/>
      <c r="Q161" s="200"/>
      <c r="R161" s="200"/>
      <c r="S161" s="199"/>
      <c r="T161" s="199"/>
      <c r="U161" s="199"/>
      <c r="V161" s="199"/>
      <c r="W161" s="199"/>
      <c r="X161" s="198"/>
      <c r="Y161" s="198"/>
      <c r="Z161" s="198"/>
      <c r="AA161" s="199"/>
      <c r="AB161" s="199"/>
      <c r="AC161" s="199"/>
      <c r="AD161" s="199"/>
      <c r="AE161" s="199"/>
      <c r="AF161" s="198"/>
      <c r="AG161" s="198"/>
      <c r="AH161" s="198"/>
      <c r="AI161" s="199"/>
      <c r="AJ161" s="198"/>
      <c r="AK161" s="41"/>
      <c r="AL161" s="206"/>
      <c r="AM161" s="203"/>
      <c r="AN161" s="203"/>
      <c r="AO161" s="203"/>
      <c r="AP161" s="203"/>
      <c r="AQ161" s="199"/>
      <c r="AR161" s="198"/>
      <c r="AS161" s="198"/>
      <c r="AT161" s="198"/>
      <c r="AU161" s="199"/>
      <c r="AV161" s="198"/>
      <c r="AW161" s="198"/>
      <c r="AX161" s="198"/>
      <c r="AY161" s="203"/>
    </row>
    <row r="162" spans="2:51" ht="12.75">
      <c r="B162" s="189"/>
      <c r="C162" s="184"/>
      <c r="D162" s="184"/>
      <c r="E162" s="184"/>
      <c r="F162" s="189"/>
      <c r="G162" s="184"/>
      <c r="H162" s="184"/>
      <c r="I162" s="184"/>
      <c r="J162" s="189"/>
      <c r="K162" s="41"/>
      <c r="L162" s="41"/>
      <c r="M162" s="200"/>
      <c r="N162" s="200"/>
      <c r="O162" s="200"/>
      <c r="P162" s="200"/>
      <c r="Q162" s="200"/>
      <c r="R162" s="200"/>
      <c r="S162" s="199"/>
      <c r="T162" s="199"/>
      <c r="U162" s="199"/>
      <c r="V162" s="199"/>
      <c r="W162" s="199"/>
      <c r="X162" s="198"/>
      <c r="Y162" s="198"/>
      <c r="Z162" s="198"/>
      <c r="AA162" s="199"/>
      <c r="AB162" s="199"/>
      <c r="AC162" s="199"/>
      <c r="AD162" s="199"/>
      <c r="AE162" s="199"/>
      <c r="AF162" s="198"/>
      <c r="AG162" s="198"/>
      <c r="AH162" s="198"/>
      <c r="AI162" s="199"/>
      <c r="AJ162" s="198"/>
      <c r="AK162" s="41"/>
      <c r="AL162" s="198"/>
      <c r="AM162" s="203"/>
      <c r="AN162" s="203"/>
      <c r="AO162" s="203"/>
      <c r="AP162" s="203"/>
      <c r="AQ162" s="199"/>
      <c r="AR162" s="198"/>
      <c r="AS162" s="198"/>
      <c r="AT162" s="198"/>
      <c r="AU162" s="199"/>
      <c r="AV162" s="198"/>
      <c r="AW162" s="198"/>
      <c r="AX162" s="198"/>
      <c r="AY162" s="203"/>
    </row>
    <row r="163" spans="2:51" ht="12.75">
      <c r="B163" s="189"/>
      <c r="C163" s="184"/>
      <c r="D163" s="184"/>
      <c r="E163" s="184"/>
      <c r="F163" s="189"/>
      <c r="G163" s="184"/>
      <c r="H163" s="184"/>
      <c r="I163" s="184"/>
      <c r="J163" s="189"/>
      <c r="K163" s="41"/>
      <c r="L163" s="41"/>
      <c r="M163" s="200"/>
      <c r="N163" s="200"/>
      <c r="O163" s="200"/>
      <c r="P163" s="200"/>
      <c r="Q163" s="200"/>
      <c r="R163" s="200"/>
      <c r="S163" s="199"/>
      <c r="T163" s="199"/>
      <c r="U163" s="199"/>
      <c r="V163" s="199"/>
      <c r="W163" s="199"/>
      <c r="X163" s="198"/>
      <c r="Y163" s="198"/>
      <c r="Z163" s="198"/>
      <c r="AA163" s="199"/>
      <c r="AB163" s="199"/>
      <c r="AC163" s="199"/>
      <c r="AD163" s="199"/>
      <c r="AE163" s="199"/>
      <c r="AF163" s="198"/>
      <c r="AG163" s="198"/>
      <c r="AH163" s="198"/>
      <c r="AI163" s="199"/>
      <c r="AJ163" s="198"/>
      <c r="AK163" s="41"/>
      <c r="AL163" s="198"/>
      <c r="AM163" s="199"/>
      <c r="AN163" s="199"/>
      <c r="AO163" s="199"/>
      <c r="AP163" s="199"/>
      <c r="AQ163" s="199"/>
      <c r="AR163" s="198"/>
      <c r="AS163" s="198"/>
      <c r="AT163" s="198"/>
      <c r="AU163" s="199"/>
      <c r="AV163" s="198"/>
      <c r="AW163" s="198"/>
      <c r="AX163" s="198"/>
      <c r="AY163" s="203"/>
    </row>
    <row r="164" spans="2:51" ht="12.75">
      <c r="B164" s="189"/>
      <c r="C164" s="184"/>
      <c r="D164" s="184"/>
      <c r="E164" s="184"/>
      <c r="F164" s="189"/>
      <c r="G164" s="184"/>
      <c r="H164" s="184"/>
      <c r="I164" s="184"/>
      <c r="J164" s="189"/>
      <c r="K164" s="41"/>
      <c r="L164" s="41"/>
      <c r="M164" s="200"/>
      <c r="N164" s="200"/>
      <c r="O164" s="200"/>
      <c r="P164" s="200"/>
      <c r="Q164" s="200"/>
      <c r="R164" s="200"/>
      <c r="S164" s="199"/>
      <c r="T164" s="199"/>
      <c r="U164" s="199"/>
      <c r="V164" s="199"/>
      <c r="W164" s="199"/>
      <c r="X164" s="198"/>
      <c r="Y164" s="198"/>
      <c r="Z164" s="198"/>
      <c r="AA164" s="199"/>
      <c r="AB164" s="199"/>
      <c r="AC164" s="199"/>
      <c r="AD164" s="199"/>
      <c r="AE164" s="199"/>
      <c r="AF164" s="199"/>
      <c r="AG164" s="199"/>
      <c r="AH164" s="199"/>
      <c r="AI164" s="199"/>
      <c r="AJ164" s="198"/>
      <c r="AK164" s="41"/>
      <c r="AL164" s="198"/>
      <c r="AM164" s="199"/>
      <c r="AN164" s="199"/>
      <c r="AO164" s="199"/>
      <c r="AP164" s="199"/>
      <c r="AQ164" s="199"/>
      <c r="AR164" s="198"/>
      <c r="AS164" s="198"/>
      <c r="AT164" s="198"/>
      <c r="AU164" s="199"/>
      <c r="AV164" s="198"/>
      <c r="AW164" s="198"/>
      <c r="AX164" s="198"/>
      <c r="AY164" s="203"/>
    </row>
    <row r="165" spans="2:51" ht="12.75">
      <c r="B165" s="189"/>
      <c r="C165" s="184"/>
      <c r="D165" s="184"/>
      <c r="E165" s="184"/>
      <c r="F165" s="189"/>
      <c r="G165" s="184"/>
      <c r="H165" s="184"/>
      <c r="I165" s="184"/>
      <c r="J165" s="189"/>
      <c r="K165" s="41"/>
      <c r="L165" s="41"/>
      <c r="M165" s="200"/>
      <c r="N165" s="200"/>
      <c r="O165" s="200"/>
      <c r="P165" s="200"/>
      <c r="Q165" s="200"/>
      <c r="R165" s="200"/>
      <c r="S165" s="199"/>
      <c r="T165" s="199"/>
      <c r="U165" s="199"/>
      <c r="V165" s="199"/>
      <c r="W165" s="199"/>
      <c r="X165" s="198"/>
      <c r="Y165" s="198"/>
      <c r="Z165" s="198"/>
      <c r="AA165" s="199"/>
      <c r="AB165" s="199"/>
      <c r="AC165" s="199"/>
      <c r="AD165" s="199"/>
      <c r="AE165" s="199"/>
      <c r="AF165" s="199"/>
      <c r="AG165" s="199"/>
      <c r="AH165" s="199"/>
      <c r="AI165" s="199"/>
      <c r="AJ165" s="198"/>
      <c r="AK165" s="41"/>
      <c r="AL165" s="198"/>
      <c r="AM165" s="199"/>
      <c r="AN165" s="199"/>
      <c r="AO165" s="199"/>
      <c r="AP165" s="199"/>
      <c r="AQ165" s="199"/>
      <c r="AR165" s="198"/>
      <c r="AS165" s="198"/>
      <c r="AT165" s="198"/>
      <c r="AU165" s="199"/>
      <c r="AV165" s="198"/>
      <c r="AW165" s="198"/>
      <c r="AX165" s="198"/>
      <c r="AY165" s="203"/>
    </row>
    <row r="166" spans="2:51" ht="12.75">
      <c r="B166" s="189"/>
      <c r="C166" s="184"/>
      <c r="D166" s="184"/>
      <c r="E166" s="184"/>
      <c r="F166" s="189"/>
      <c r="G166" s="184"/>
      <c r="H166" s="184"/>
      <c r="I166" s="184"/>
      <c r="J166" s="189"/>
      <c r="K166" s="41"/>
      <c r="L166" s="41"/>
      <c r="M166" s="200"/>
      <c r="N166" s="200"/>
      <c r="O166" s="200"/>
      <c r="P166" s="200"/>
      <c r="Q166" s="200"/>
      <c r="R166" s="200"/>
      <c r="S166" s="199"/>
      <c r="T166" s="199"/>
      <c r="U166" s="199"/>
      <c r="V166" s="199"/>
      <c r="W166" s="199"/>
      <c r="X166" s="198"/>
      <c r="Y166" s="198"/>
      <c r="Z166" s="198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8"/>
      <c r="AK166" s="41"/>
      <c r="AL166" s="198"/>
      <c r="AM166" s="199"/>
      <c r="AN166" s="199"/>
      <c r="AO166" s="199"/>
      <c r="AP166" s="199"/>
      <c r="AQ166" s="199"/>
      <c r="AR166" s="198"/>
      <c r="AS166" s="198"/>
      <c r="AT166" s="198"/>
      <c r="AU166" s="199"/>
      <c r="AV166" s="198"/>
      <c r="AW166" s="198"/>
      <c r="AX166" s="198"/>
      <c r="AY166" s="203"/>
    </row>
    <row r="167" spans="2:51" ht="12.75">
      <c r="B167" s="189"/>
      <c r="C167" s="184"/>
      <c r="D167" s="184"/>
      <c r="E167" s="184"/>
      <c r="F167" s="189"/>
      <c r="G167" s="184"/>
      <c r="H167" s="184"/>
      <c r="I167" s="184"/>
      <c r="J167" s="189"/>
      <c r="K167" s="200"/>
      <c r="L167" s="200"/>
      <c r="M167" s="200"/>
      <c r="N167" s="200"/>
      <c r="O167" s="200"/>
      <c r="P167" s="200"/>
      <c r="Q167" s="200"/>
      <c r="R167" s="200"/>
      <c r="S167" s="199"/>
      <c r="T167" s="199"/>
      <c r="U167" s="199"/>
      <c r="V167" s="199"/>
      <c r="W167" s="199"/>
      <c r="X167" s="198"/>
      <c r="Y167" s="198"/>
      <c r="Z167" s="198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198"/>
      <c r="AK167" s="41"/>
      <c r="AL167" s="198"/>
      <c r="AM167" s="199"/>
      <c r="AN167" s="199"/>
      <c r="AO167" s="199"/>
      <c r="AP167" s="199"/>
      <c r="AQ167" s="199"/>
      <c r="AR167" s="198"/>
      <c r="AS167" s="198"/>
      <c r="AT167" s="198"/>
      <c r="AU167" s="199"/>
      <c r="AV167" s="198"/>
      <c r="AW167" s="198"/>
      <c r="AX167" s="198"/>
      <c r="AY167" s="203"/>
    </row>
    <row r="168" spans="2:51" ht="12.75">
      <c r="B168" s="189"/>
      <c r="C168" s="184"/>
      <c r="D168" s="184"/>
      <c r="E168" s="184"/>
      <c r="F168" s="189"/>
      <c r="G168" s="184"/>
      <c r="H168" s="184"/>
      <c r="I168" s="184"/>
      <c r="J168" s="189"/>
      <c r="K168" s="200"/>
      <c r="L168" s="200"/>
      <c r="M168" s="200"/>
      <c r="N168" s="200"/>
      <c r="O168" s="200"/>
      <c r="P168" s="200"/>
      <c r="Q168" s="200"/>
      <c r="R168" s="200"/>
      <c r="S168" s="199"/>
      <c r="T168" s="199"/>
      <c r="U168" s="199"/>
      <c r="V168" s="199"/>
      <c r="W168" s="199"/>
      <c r="X168" s="198"/>
      <c r="Y168" s="198"/>
      <c r="Z168" s="198"/>
      <c r="AA168" s="199"/>
      <c r="AB168" s="199"/>
      <c r="AC168" s="199"/>
      <c r="AD168" s="199"/>
      <c r="AE168" s="199"/>
      <c r="AF168" s="199"/>
      <c r="AG168" s="199"/>
      <c r="AH168" s="199"/>
      <c r="AI168" s="199"/>
      <c r="AJ168" s="198"/>
      <c r="AK168" s="41"/>
      <c r="AL168" s="198"/>
      <c r="AM168" s="199"/>
      <c r="AN168" s="199"/>
      <c r="AO168" s="199"/>
      <c r="AP168" s="199"/>
      <c r="AQ168" s="199"/>
      <c r="AR168" s="198"/>
      <c r="AS168" s="198"/>
      <c r="AT168" s="198"/>
      <c r="AU168" s="199"/>
      <c r="AV168" s="198"/>
      <c r="AW168" s="198"/>
      <c r="AX168" s="198"/>
      <c r="AY168" s="203"/>
    </row>
    <row r="169" spans="2:51" ht="12.75">
      <c r="B169" s="189"/>
      <c r="C169" s="201"/>
      <c r="D169" s="201"/>
      <c r="E169" s="201"/>
      <c r="F169" s="189"/>
      <c r="G169" s="201"/>
      <c r="H169" s="201"/>
      <c r="I169" s="201"/>
      <c r="J169" s="189"/>
      <c r="K169" s="200"/>
      <c r="L169" s="200"/>
      <c r="M169" s="200"/>
      <c r="N169" s="200"/>
      <c r="O169" s="200"/>
      <c r="P169" s="200"/>
      <c r="Q169" s="200"/>
      <c r="R169" s="200"/>
      <c r="S169" s="199"/>
      <c r="T169" s="199"/>
      <c r="U169" s="199"/>
      <c r="V169" s="199"/>
      <c r="W169" s="199"/>
      <c r="X169" s="198"/>
      <c r="Y169" s="198"/>
      <c r="Z169" s="198"/>
      <c r="AA169" s="199"/>
      <c r="AB169" s="199"/>
      <c r="AC169" s="199"/>
      <c r="AD169" s="199"/>
      <c r="AE169" s="199"/>
      <c r="AF169" s="199"/>
      <c r="AG169" s="199"/>
      <c r="AH169" s="199"/>
      <c r="AI169" s="199"/>
      <c r="AJ169" s="198"/>
      <c r="AK169" s="41"/>
      <c r="AL169" s="198"/>
      <c r="AM169" s="199"/>
      <c r="AN169" s="199"/>
      <c r="AO169" s="199"/>
      <c r="AP169" s="199"/>
      <c r="AQ169" s="199"/>
      <c r="AR169" s="198"/>
      <c r="AS169" s="198"/>
      <c r="AT169" s="198"/>
      <c r="AU169" s="199"/>
      <c r="AV169" s="199"/>
      <c r="AW169" s="199"/>
      <c r="AX169" s="199"/>
      <c r="AY169" s="203"/>
    </row>
    <row r="170" spans="2:51" ht="12.75">
      <c r="B170" s="189"/>
      <c r="C170" s="201"/>
      <c r="D170" s="201"/>
      <c r="E170" s="201"/>
      <c r="F170" s="189"/>
      <c r="G170" s="201"/>
      <c r="H170" s="201"/>
      <c r="I170" s="201"/>
      <c r="J170" s="189"/>
      <c r="K170" s="200"/>
      <c r="L170" s="200"/>
      <c r="M170" s="200"/>
      <c r="N170" s="200"/>
      <c r="O170" s="200"/>
      <c r="P170" s="200"/>
      <c r="Q170" s="200"/>
      <c r="R170" s="200"/>
      <c r="S170" s="199"/>
      <c r="T170" s="199"/>
      <c r="U170" s="199"/>
      <c r="V170" s="199"/>
      <c r="W170" s="199"/>
      <c r="X170" s="198"/>
      <c r="Y170" s="198"/>
      <c r="Z170" s="198"/>
      <c r="AA170" s="199"/>
      <c r="AB170" s="199"/>
      <c r="AC170" s="199"/>
      <c r="AD170" s="199"/>
      <c r="AE170" s="199"/>
      <c r="AF170" s="199"/>
      <c r="AG170" s="199"/>
      <c r="AH170" s="199"/>
      <c r="AI170" s="199"/>
      <c r="AJ170" s="198"/>
      <c r="AK170" s="41"/>
      <c r="AL170" s="198"/>
      <c r="AM170" s="199"/>
      <c r="AN170" s="199"/>
      <c r="AO170" s="199"/>
      <c r="AP170" s="199"/>
      <c r="AQ170" s="199"/>
      <c r="AR170" s="198"/>
      <c r="AS170" s="198"/>
      <c r="AT170" s="198"/>
      <c r="AU170" s="199"/>
      <c r="AV170" s="199"/>
      <c r="AW170" s="199"/>
      <c r="AX170" s="199"/>
      <c r="AY170" s="203"/>
    </row>
    <row r="171" spans="2:51" ht="12.75">
      <c r="B171" s="189"/>
      <c r="C171" s="201"/>
      <c r="D171" s="201"/>
      <c r="E171" s="201"/>
      <c r="F171" s="189"/>
      <c r="G171" s="201"/>
      <c r="H171" s="201"/>
      <c r="I171" s="201"/>
      <c r="J171" s="189"/>
      <c r="K171" s="200"/>
      <c r="L171" s="200"/>
      <c r="M171" s="200"/>
      <c r="N171" s="200"/>
      <c r="O171" s="200"/>
      <c r="P171" s="200"/>
      <c r="Q171" s="200"/>
      <c r="R171" s="200"/>
      <c r="S171" s="199"/>
      <c r="T171" s="199"/>
      <c r="U171" s="199"/>
      <c r="V171" s="199"/>
      <c r="W171" s="199"/>
      <c r="X171" s="198"/>
      <c r="Y171" s="198"/>
      <c r="Z171" s="198"/>
      <c r="AA171" s="199"/>
      <c r="AB171" s="199"/>
      <c r="AC171" s="199"/>
      <c r="AD171" s="199"/>
      <c r="AE171" s="199"/>
      <c r="AF171" s="199"/>
      <c r="AG171" s="199"/>
      <c r="AH171" s="199"/>
      <c r="AI171" s="199"/>
      <c r="AJ171" s="198"/>
      <c r="AK171" s="41"/>
      <c r="AL171" s="198"/>
      <c r="AM171" s="199"/>
      <c r="AN171" s="199"/>
      <c r="AO171" s="199"/>
      <c r="AP171" s="199"/>
      <c r="AQ171" s="199"/>
      <c r="AR171" s="198"/>
      <c r="AS171" s="198"/>
      <c r="AT171" s="198"/>
      <c r="AU171" s="199"/>
      <c r="AV171" s="199"/>
      <c r="AW171" s="199"/>
      <c r="AX171" s="199"/>
      <c r="AY171" s="203"/>
    </row>
    <row r="172" spans="2:51" ht="12.75">
      <c r="B172" s="189"/>
      <c r="C172" s="201"/>
      <c r="D172" s="201"/>
      <c r="E172" s="201"/>
      <c r="F172" s="189"/>
      <c r="G172" s="201"/>
      <c r="H172" s="201"/>
      <c r="I172" s="201"/>
      <c r="J172" s="189"/>
      <c r="K172" s="200"/>
      <c r="L172" s="200"/>
      <c r="M172" s="200"/>
      <c r="N172" s="200"/>
      <c r="O172" s="200"/>
      <c r="P172" s="200"/>
      <c r="Q172" s="200"/>
      <c r="R172" s="200"/>
      <c r="S172" s="199"/>
      <c r="T172" s="199"/>
      <c r="U172" s="199"/>
      <c r="V172" s="199"/>
      <c r="W172" s="199"/>
      <c r="X172" s="198"/>
      <c r="Y172" s="198"/>
      <c r="Z172" s="198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198"/>
      <c r="AK172" s="41"/>
      <c r="AL172" s="198"/>
      <c r="AM172" s="199"/>
      <c r="AN172" s="199"/>
      <c r="AO172" s="199"/>
      <c r="AP172" s="199"/>
      <c r="AQ172" s="199"/>
      <c r="AR172" s="198"/>
      <c r="AS172" s="198"/>
      <c r="AT172" s="198"/>
      <c r="AU172" s="199"/>
      <c r="AV172" s="199"/>
      <c r="AW172" s="199"/>
      <c r="AX172" s="199"/>
      <c r="AY172" s="203"/>
    </row>
    <row r="173" spans="2:51" ht="12.75">
      <c r="B173" s="189"/>
      <c r="C173" s="201"/>
      <c r="D173" s="201"/>
      <c r="E173" s="201"/>
      <c r="F173" s="189"/>
      <c r="G173" s="201"/>
      <c r="H173" s="201"/>
      <c r="I173" s="201"/>
      <c r="J173" s="189"/>
      <c r="K173" s="200"/>
      <c r="L173" s="200"/>
      <c r="M173" s="200"/>
      <c r="N173" s="200"/>
      <c r="O173" s="200"/>
      <c r="P173" s="200"/>
      <c r="Q173" s="200"/>
      <c r="R173" s="200"/>
      <c r="S173" s="199"/>
      <c r="T173" s="199"/>
      <c r="U173" s="199"/>
      <c r="V173" s="199"/>
      <c r="W173" s="199"/>
      <c r="X173" s="198"/>
      <c r="Y173" s="198"/>
      <c r="Z173" s="198"/>
      <c r="AA173" s="199"/>
      <c r="AB173" s="199"/>
      <c r="AC173" s="199"/>
      <c r="AD173" s="199"/>
      <c r="AE173" s="199"/>
      <c r="AF173" s="199"/>
      <c r="AG173" s="199"/>
      <c r="AH173" s="199"/>
      <c r="AI173" s="199"/>
      <c r="AJ173" s="198"/>
      <c r="AK173" s="41"/>
      <c r="AL173" s="198"/>
      <c r="AM173" s="199"/>
      <c r="AN173" s="199"/>
      <c r="AO173" s="199"/>
      <c r="AP173" s="199"/>
      <c r="AQ173" s="199"/>
      <c r="AR173" s="198"/>
      <c r="AS173" s="198"/>
      <c r="AT173" s="198"/>
      <c r="AU173" s="199"/>
      <c r="AV173" s="199"/>
      <c r="AW173" s="199"/>
      <c r="AX173" s="199"/>
      <c r="AY173" s="203"/>
    </row>
    <row r="174" spans="2:51" ht="12.75">
      <c r="B174" s="189"/>
      <c r="C174" s="201"/>
      <c r="D174" s="201"/>
      <c r="E174" s="201"/>
      <c r="F174" s="189"/>
      <c r="G174" s="201"/>
      <c r="H174" s="201"/>
      <c r="I174" s="201"/>
      <c r="J174" s="189"/>
      <c r="K174" s="200"/>
      <c r="L174" s="200"/>
      <c r="M174" s="200"/>
      <c r="N174" s="200"/>
      <c r="O174" s="200"/>
      <c r="P174" s="200"/>
      <c r="Q174" s="200"/>
      <c r="R174" s="200"/>
      <c r="S174" s="199"/>
      <c r="T174" s="199"/>
      <c r="U174" s="199"/>
      <c r="V174" s="199"/>
      <c r="W174" s="199"/>
      <c r="X174" s="198"/>
      <c r="Y174" s="198"/>
      <c r="Z174" s="198"/>
      <c r="AA174" s="199"/>
      <c r="AB174" s="199"/>
      <c r="AC174" s="199"/>
      <c r="AD174" s="199"/>
      <c r="AE174" s="199"/>
      <c r="AF174" s="199"/>
      <c r="AG174" s="199"/>
      <c r="AH174" s="199"/>
      <c r="AI174" s="199"/>
      <c r="AJ174" s="198"/>
      <c r="AK174" s="41"/>
      <c r="AL174" s="198"/>
      <c r="AM174" s="199"/>
      <c r="AN174" s="199"/>
      <c r="AO174" s="199"/>
      <c r="AP174" s="199"/>
      <c r="AQ174" s="199"/>
      <c r="AR174" s="198"/>
      <c r="AS174" s="198"/>
      <c r="AT174" s="198"/>
      <c r="AU174" s="199"/>
      <c r="AV174" s="199"/>
      <c r="AW174" s="199"/>
      <c r="AX174" s="199"/>
      <c r="AY174" s="203"/>
    </row>
    <row r="175" spans="2:51" ht="12.75">
      <c r="B175" s="189"/>
      <c r="C175" s="201"/>
      <c r="D175" s="201"/>
      <c r="E175" s="201"/>
      <c r="F175" s="189"/>
      <c r="G175" s="201"/>
      <c r="H175" s="201"/>
      <c r="I175" s="201"/>
      <c r="J175" s="202"/>
      <c r="K175" s="51"/>
      <c r="L175" s="51"/>
      <c r="M175" s="200"/>
      <c r="N175" s="200"/>
      <c r="O175" s="200"/>
      <c r="P175" s="200"/>
      <c r="Q175" s="200"/>
      <c r="R175" s="200"/>
      <c r="S175" s="199"/>
      <c r="T175" s="199"/>
      <c r="U175" s="199"/>
      <c r="V175" s="199"/>
      <c r="W175" s="199"/>
      <c r="X175" s="198"/>
      <c r="Y175" s="198"/>
      <c r="Z175" s="198"/>
      <c r="AA175" s="199"/>
      <c r="AB175" s="199"/>
      <c r="AC175" s="199"/>
      <c r="AD175" s="199"/>
      <c r="AE175" s="199"/>
      <c r="AF175" s="199"/>
      <c r="AG175" s="199"/>
      <c r="AH175" s="199"/>
      <c r="AI175" s="199"/>
      <c r="AJ175" s="198"/>
      <c r="AK175" s="41"/>
      <c r="AL175" s="198"/>
      <c r="AM175" s="199"/>
      <c r="AN175" s="199"/>
      <c r="AO175" s="199"/>
      <c r="AP175" s="199"/>
      <c r="AQ175" s="199"/>
      <c r="AR175" s="198"/>
      <c r="AS175" s="198"/>
      <c r="AT175" s="198"/>
      <c r="AU175" s="199"/>
      <c r="AV175" s="199"/>
      <c r="AW175" s="199"/>
      <c r="AX175" s="199"/>
      <c r="AY175" s="203"/>
    </row>
    <row r="176" spans="2:51" ht="12.75">
      <c r="B176" s="189"/>
      <c r="C176" s="201"/>
      <c r="D176" s="201"/>
      <c r="E176" s="201"/>
      <c r="F176" s="189"/>
      <c r="G176" s="201"/>
      <c r="H176" s="201"/>
      <c r="I176" s="201"/>
      <c r="J176" s="177"/>
      <c r="K176" s="41"/>
      <c r="L176" s="41"/>
      <c r="M176" s="200"/>
      <c r="N176" s="200"/>
      <c r="O176" s="200"/>
      <c r="P176" s="200"/>
      <c r="Q176" s="200"/>
      <c r="R176" s="200"/>
      <c r="S176" s="199"/>
      <c r="T176" s="199"/>
      <c r="U176" s="199"/>
      <c r="V176" s="199"/>
      <c r="W176" s="199"/>
      <c r="X176" s="198"/>
      <c r="Y176" s="198"/>
      <c r="Z176" s="198"/>
      <c r="AA176" s="199"/>
      <c r="AB176" s="199"/>
      <c r="AC176" s="199"/>
      <c r="AD176" s="199"/>
      <c r="AE176" s="199"/>
      <c r="AF176" s="199"/>
      <c r="AG176" s="199"/>
      <c r="AH176" s="199"/>
      <c r="AI176" s="199"/>
      <c r="AJ176" s="198"/>
      <c r="AK176" s="41"/>
      <c r="AL176" s="198"/>
      <c r="AM176" s="199"/>
      <c r="AN176" s="199"/>
      <c r="AO176" s="199"/>
      <c r="AP176" s="199"/>
      <c r="AQ176" s="199"/>
      <c r="AR176" s="198"/>
      <c r="AS176" s="198"/>
      <c r="AT176" s="198"/>
      <c r="AU176" s="199"/>
      <c r="AV176" s="199"/>
      <c r="AW176" s="199"/>
      <c r="AX176" s="199"/>
      <c r="AY176" s="203"/>
    </row>
    <row r="177" spans="2:51" ht="12.75">
      <c r="B177" s="189"/>
      <c r="C177" s="201"/>
      <c r="D177" s="201"/>
      <c r="E177" s="201"/>
      <c r="F177" s="189"/>
      <c r="G177" s="201"/>
      <c r="H177" s="201"/>
      <c r="I177" s="201"/>
      <c r="J177" s="177"/>
      <c r="K177" s="41"/>
      <c r="L177" s="41"/>
      <c r="M177" s="200"/>
      <c r="N177" s="200"/>
      <c r="O177" s="200"/>
      <c r="P177" s="200"/>
      <c r="Q177" s="200"/>
      <c r="R177" s="200"/>
      <c r="S177" s="199"/>
      <c r="T177" s="199"/>
      <c r="U177" s="199"/>
      <c r="V177" s="199"/>
      <c r="W177" s="199"/>
      <c r="X177" s="198"/>
      <c r="Y177" s="198"/>
      <c r="Z177" s="198"/>
      <c r="AA177" s="199"/>
      <c r="AB177" s="199"/>
      <c r="AC177" s="199"/>
      <c r="AD177" s="199"/>
      <c r="AE177" s="199"/>
      <c r="AF177" s="199"/>
      <c r="AG177" s="199"/>
      <c r="AH177" s="199"/>
      <c r="AI177" s="199"/>
      <c r="AJ177" s="198"/>
      <c r="AK177" s="41"/>
      <c r="AL177" s="198"/>
      <c r="AM177" s="199"/>
      <c r="AN177" s="199"/>
      <c r="AO177" s="199"/>
      <c r="AP177" s="199"/>
      <c r="AQ177" s="199"/>
      <c r="AR177" s="198"/>
      <c r="AS177" s="198"/>
      <c r="AT177" s="198"/>
      <c r="AU177" s="199"/>
      <c r="AV177" s="199"/>
      <c r="AW177" s="199"/>
      <c r="AX177" s="199"/>
      <c r="AY177" s="203"/>
    </row>
    <row r="178" spans="2:51" ht="12.75">
      <c r="B178" s="189"/>
      <c r="C178" s="201"/>
      <c r="D178" s="201"/>
      <c r="E178" s="201"/>
      <c r="F178" s="189"/>
      <c r="G178" s="201"/>
      <c r="H178" s="201"/>
      <c r="I178" s="201"/>
      <c r="J178" s="177"/>
      <c r="K178" s="41"/>
      <c r="L178" s="41"/>
      <c r="M178" s="200"/>
      <c r="N178" s="200"/>
      <c r="O178" s="200"/>
      <c r="P178" s="200"/>
      <c r="Q178" s="200"/>
      <c r="R178" s="200"/>
      <c r="S178" s="199"/>
      <c r="T178" s="199"/>
      <c r="U178" s="199"/>
      <c r="V178" s="199"/>
      <c r="W178" s="199"/>
      <c r="X178" s="198"/>
      <c r="Y178" s="41"/>
      <c r="Z178" s="198"/>
      <c r="AA178" s="199"/>
      <c r="AB178" s="199"/>
      <c r="AC178" s="199"/>
      <c r="AD178" s="199"/>
      <c r="AE178" s="199"/>
      <c r="AF178" s="199"/>
      <c r="AG178" s="199"/>
      <c r="AH178" s="199"/>
      <c r="AI178" s="199"/>
      <c r="AJ178" s="198"/>
      <c r="AK178" s="41"/>
      <c r="AL178" s="198"/>
      <c r="AM178" s="199"/>
      <c r="AN178" s="199"/>
      <c r="AO178" s="199"/>
      <c r="AP178" s="199"/>
      <c r="AQ178" s="199"/>
      <c r="AR178" s="198"/>
      <c r="AS178" s="198"/>
      <c r="AT178" s="198"/>
      <c r="AU178" s="199"/>
      <c r="AV178" s="199"/>
      <c r="AW178" s="199"/>
      <c r="AX178" s="199"/>
      <c r="AY178" s="203"/>
    </row>
    <row r="179" spans="2:51" ht="12.75">
      <c r="B179" s="189"/>
      <c r="C179" s="201"/>
      <c r="D179" s="201"/>
      <c r="E179" s="201"/>
      <c r="F179" s="189"/>
      <c r="G179" s="201"/>
      <c r="H179" s="201"/>
      <c r="I179" s="201"/>
      <c r="J179" s="177"/>
      <c r="K179" s="41"/>
      <c r="L179" s="41"/>
      <c r="M179" s="200"/>
      <c r="N179" s="200"/>
      <c r="O179" s="200"/>
      <c r="P179" s="200"/>
      <c r="Q179" s="200"/>
      <c r="R179" s="200"/>
      <c r="S179" s="199"/>
      <c r="T179" s="199"/>
      <c r="U179" s="199"/>
      <c r="V179" s="199"/>
      <c r="W179" s="199"/>
      <c r="X179" s="198"/>
      <c r="Y179" s="41"/>
      <c r="Z179" s="198"/>
      <c r="AA179" s="199"/>
      <c r="AB179" s="199"/>
      <c r="AC179" s="199"/>
      <c r="AD179" s="199"/>
      <c r="AE179" s="199"/>
      <c r="AF179" s="199"/>
      <c r="AG179" s="199"/>
      <c r="AH179" s="199"/>
      <c r="AI179" s="199"/>
      <c r="AJ179" s="198"/>
      <c r="AK179" s="41"/>
      <c r="AL179" s="198"/>
      <c r="AM179" s="199"/>
      <c r="AN179" s="199"/>
      <c r="AO179" s="199"/>
      <c r="AP179" s="199"/>
      <c r="AQ179" s="199"/>
      <c r="AR179" s="198"/>
      <c r="AS179" s="198"/>
      <c r="AT179" s="198"/>
      <c r="AU179" s="199"/>
      <c r="AV179" s="199"/>
      <c r="AW179" s="199"/>
      <c r="AX179" s="199"/>
      <c r="AY179" s="203"/>
    </row>
    <row r="180" spans="2:51" ht="12.75">
      <c r="B180" s="189"/>
      <c r="C180" s="201"/>
      <c r="D180" s="201"/>
      <c r="E180" s="201"/>
      <c r="F180" s="189"/>
      <c r="G180" s="201"/>
      <c r="H180" s="201"/>
      <c r="I180" s="201"/>
      <c r="J180" s="177"/>
      <c r="K180" s="41"/>
      <c r="L180" s="41"/>
      <c r="M180" s="200"/>
      <c r="N180" s="200"/>
      <c r="O180" s="200"/>
      <c r="P180" s="200"/>
      <c r="Q180" s="200"/>
      <c r="R180" s="200"/>
      <c r="S180" s="199"/>
      <c r="T180" s="199"/>
      <c r="U180" s="199"/>
      <c r="V180" s="199"/>
      <c r="W180" s="199"/>
      <c r="X180" s="198"/>
      <c r="Y180" s="41"/>
      <c r="Z180" s="198"/>
      <c r="AA180" s="199"/>
      <c r="AB180" s="199"/>
      <c r="AC180" s="199"/>
      <c r="AD180" s="199"/>
      <c r="AE180" s="199"/>
      <c r="AF180" s="199"/>
      <c r="AG180" s="199"/>
      <c r="AH180" s="199"/>
      <c r="AI180" s="199"/>
      <c r="AJ180" s="198"/>
      <c r="AK180" s="41"/>
      <c r="AL180" s="198"/>
      <c r="AM180" s="199"/>
      <c r="AN180" s="199"/>
      <c r="AO180" s="199"/>
      <c r="AP180" s="199"/>
      <c r="AQ180" s="199"/>
      <c r="AR180" s="198"/>
      <c r="AS180" s="198"/>
      <c r="AT180" s="198"/>
      <c r="AU180" s="199"/>
      <c r="AV180" s="199"/>
      <c r="AW180" s="199"/>
      <c r="AX180" s="199"/>
      <c r="AY180" s="203"/>
    </row>
    <row r="181" spans="2:51" ht="12.75">
      <c r="B181" s="189"/>
      <c r="C181" s="201"/>
      <c r="D181" s="201"/>
      <c r="E181" s="201"/>
      <c r="F181" s="189"/>
      <c r="G181" s="201"/>
      <c r="H181" s="201"/>
      <c r="I181" s="201"/>
      <c r="J181" s="177"/>
      <c r="K181" s="41"/>
      <c r="L181" s="41"/>
      <c r="M181" s="200"/>
      <c r="N181" s="200"/>
      <c r="O181" s="200"/>
      <c r="P181" s="200"/>
      <c r="Q181" s="200"/>
      <c r="R181" s="200"/>
      <c r="S181" s="199"/>
      <c r="T181" s="199"/>
      <c r="U181" s="199"/>
      <c r="V181" s="199"/>
      <c r="W181" s="199"/>
      <c r="X181" s="199"/>
      <c r="Y181" s="199"/>
      <c r="Z181" s="199"/>
      <c r="AA181" s="199"/>
      <c r="AB181" s="199"/>
      <c r="AC181" s="199"/>
      <c r="AD181" s="199"/>
      <c r="AE181" s="199"/>
      <c r="AF181" s="199"/>
      <c r="AG181" s="199"/>
      <c r="AH181" s="199"/>
      <c r="AI181" s="199"/>
      <c r="AJ181" s="198"/>
      <c r="AK181" s="41"/>
      <c r="AL181" s="198"/>
      <c r="AM181" s="199"/>
      <c r="AN181" s="199"/>
      <c r="AO181" s="199"/>
      <c r="AP181" s="199"/>
      <c r="AQ181" s="199"/>
      <c r="AR181" s="198"/>
      <c r="AS181" s="198"/>
      <c r="AT181" s="198"/>
      <c r="AU181" s="199"/>
      <c r="AV181" s="199"/>
      <c r="AW181" s="199"/>
      <c r="AX181" s="199"/>
      <c r="AY181" s="203"/>
    </row>
    <row r="182" spans="2:51" ht="12.75">
      <c r="B182" s="189"/>
      <c r="C182" s="201"/>
      <c r="D182" s="201"/>
      <c r="E182" s="201"/>
      <c r="F182" s="189"/>
      <c r="G182" s="201"/>
      <c r="H182" s="201"/>
      <c r="I182" s="201"/>
      <c r="J182" s="177"/>
      <c r="K182" s="41"/>
      <c r="L182" s="41"/>
      <c r="M182" s="200"/>
      <c r="N182" s="200"/>
      <c r="O182" s="200"/>
      <c r="P182" s="200"/>
      <c r="Q182" s="200"/>
      <c r="R182" s="200"/>
      <c r="S182" s="199"/>
      <c r="T182" s="199"/>
      <c r="U182" s="199"/>
      <c r="V182" s="199"/>
      <c r="W182" s="199"/>
      <c r="X182" s="199"/>
      <c r="Y182" s="199"/>
      <c r="Z182" s="199"/>
      <c r="AA182" s="199"/>
      <c r="AB182" s="199"/>
      <c r="AC182" s="199"/>
      <c r="AD182" s="199"/>
      <c r="AE182" s="199"/>
      <c r="AF182" s="199"/>
      <c r="AG182" s="199"/>
      <c r="AH182" s="199"/>
      <c r="AI182" s="199"/>
      <c r="AJ182" s="198"/>
      <c r="AK182" s="41"/>
      <c r="AL182" s="198"/>
      <c r="AM182" s="199"/>
      <c r="AN182" s="199"/>
      <c r="AO182" s="199"/>
      <c r="AP182" s="199"/>
      <c r="AQ182" s="199"/>
      <c r="AR182" s="198"/>
      <c r="AS182" s="198"/>
      <c r="AT182" s="198"/>
      <c r="AU182" s="199"/>
      <c r="AV182" s="199"/>
      <c r="AW182" s="199"/>
      <c r="AX182" s="199"/>
      <c r="AY182" s="203"/>
    </row>
    <row r="183" spans="2:51" ht="12.75">
      <c r="B183" s="189"/>
      <c r="C183" s="201"/>
      <c r="D183" s="201"/>
      <c r="E183" s="201"/>
      <c r="F183" s="189"/>
      <c r="G183" s="201"/>
      <c r="H183" s="201"/>
      <c r="I183" s="201"/>
      <c r="J183" s="177"/>
      <c r="K183" s="41"/>
      <c r="L183" s="41"/>
      <c r="M183" s="200"/>
      <c r="N183" s="200"/>
      <c r="O183" s="200"/>
      <c r="P183" s="200"/>
      <c r="Q183" s="200"/>
      <c r="R183" s="200"/>
      <c r="S183" s="199"/>
      <c r="T183" s="199"/>
      <c r="U183" s="199"/>
      <c r="V183" s="199"/>
      <c r="W183" s="199"/>
      <c r="X183" s="199"/>
      <c r="Y183" s="199"/>
      <c r="Z183" s="199"/>
      <c r="AA183" s="199"/>
      <c r="AB183" s="199"/>
      <c r="AC183" s="199"/>
      <c r="AD183" s="199"/>
      <c r="AE183" s="199"/>
      <c r="AF183" s="199"/>
      <c r="AG183" s="199"/>
      <c r="AH183" s="199"/>
      <c r="AI183" s="199"/>
      <c r="AJ183" s="198"/>
      <c r="AK183" s="41"/>
      <c r="AL183" s="198"/>
      <c r="AM183" s="199"/>
      <c r="AN183" s="199"/>
      <c r="AO183" s="199"/>
      <c r="AP183" s="199"/>
      <c r="AQ183" s="199"/>
      <c r="AR183" s="198"/>
      <c r="AS183" s="198"/>
      <c r="AT183" s="198"/>
      <c r="AU183" s="199"/>
      <c r="AV183" s="199"/>
      <c r="AW183" s="199"/>
      <c r="AX183" s="199"/>
      <c r="AY183" s="203"/>
    </row>
    <row r="184" spans="2:51" ht="12.75">
      <c r="B184" s="189"/>
      <c r="C184" s="201"/>
      <c r="D184" s="201"/>
      <c r="E184" s="201"/>
      <c r="F184" s="189"/>
      <c r="G184" s="201"/>
      <c r="H184" s="201"/>
      <c r="I184" s="201"/>
      <c r="J184" s="177"/>
      <c r="K184" s="41"/>
      <c r="L184" s="41"/>
      <c r="M184" s="200"/>
      <c r="N184" s="200"/>
      <c r="O184" s="200"/>
      <c r="P184" s="200"/>
      <c r="Q184" s="200"/>
      <c r="R184" s="200"/>
      <c r="S184" s="199"/>
      <c r="T184" s="199"/>
      <c r="U184" s="199"/>
      <c r="V184" s="199"/>
      <c r="W184" s="199"/>
      <c r="X184" s="199"/>
      <c r="Y184" s="199"/>
      <c r="Z184" s="199"/>
      <c r="AA184" s="199"/>
      <c r="AB184" s="199"/>
      <c r="AC184" s="199"/>
      <c r="AD184" s="199"/>
      <c r="AE184" s="199"/>
      <c r="AF184" s="199"/>
      <c r="AG184" s="199"/>
      <c r="AH184" s="199"/>
      <c r="AI184" s="199"/>
      <c r="AJ184" s="198"/>
      <c r="AK184" s="41"/>
      <c r="AL184" s="198"/>
      <c r="AM184" s="199"/>
      <c r="AN184" s="199"/>
      <c r="AO184" s="199"/>
      <c r="AP184" s="199"/>
      <c r="AQ184" s="199"/>
      <c r="AR184" s="198"/>
      <c r="AS184" s="198"/>
      <c r="AT184" s="198"/>
      <c r="AU184" s="199"/>
      <c r="AV184" s="199"/>
      <c r="AW184" s="199"/>
      <c r="AX184" s="199"/>
      <c r="AY184" s="203"/>
    </row>
    <row r="185" spans="2:51" ht="12.75">
      <c r="B185" s="189"/>
      <c r="C185" s="201"/>
      <c r="D185" s="201"/>
      <c r="E185" s="201"/>
      <c r="F185" s="189"/>
      <c r="G185" s="201"/>
      <c r="H185" s="201"/>
      <c r="I185" s="201"/>
      <c r="J185" s="177"/>
      <c r="K185" s="41"/>
      <c r="L185" s="41"/>
      <c r="M185" s="200"/>
      <c r="N185" s="200"/>
      <c r="O185" s="200"/>
      <c r="P185" s="200"/>
      <c r="Q185" s="200"/>
      <c r="R185" s="200"/>
      <c r="S185" s="199"/>
      <c r="T185" s="199"/>
      <c r="U185" s="199"/>
      <c r="V185" s="199"/>
      <c r="W185" s="199"/>
      <c r="X185" s="199"/>
      <c r="Y185" s="199"/>
      <c r="Z185" s="199"/>
      <c r="AA185" s="199"/>
      <c r="AB185" s="199"/>
      <c r="AC185" s="199"/>
      <c r="AD185" s="199"/>
      <c r="AE185" s="199"/>
      <c r="AF185" s="199"/>
      <c r="AG185" s="199"/>
      <c r="AH185" s="199"/>
      <c r="AI185" s="199"/>
      <c r="AJ185" s="198"/>
      <c r="AK185" s="41"/>
      <c r="AL185" s="198"/>
      <c r="AM185" s="199"/>
      <c r="AN185" s="199"/>
      <c r="AO185" s="199"/>
      <c r="AP185" s="199"/>
      <c r="AQ185" s="199"/>
      <c r="AR185" s="198"/>
      <c r="AS185" s="198"/>
      <c r="AT185" s="198"/>
      <c r="AU185" s="199"/>
      <c r="AV185" s="199"/>
      <c r="AW185" s="199"/>
      <c r="AX185" s="199"/>
      <c r="AY185" s="203"/>
    </row>
    <row r="186" spans="2:51" ht="12.75">
      <c r="B186" s="189"/>
      <c r="C186" s="201"/>
      <c r="D186" s="201"/>
      <c r="E186" s="201"/>
      <c r="F186" s="189"/>
      <c r="G186" s="201"/>
      <c r="H186" s="201"/>
      <c r="I186" s="201"/>
      <c r="J186" s="177"/>
      <c r="K186" s="41"/>
      <c r="L186" s="41"/>
      <c r="M186" s="200"/>
      <c r="N186" s="200"/>
      <c r="O186" s="200"/>
      <c r="P186" s="200"/>
      <c r="Q186" s="200"/>
      <c r="R186" s="200"/>
      <c r="S186" s="199"/>
      <c r="T186" s="199"/>
      <c r="U186" s="199"/>
      <c r="V186" s="199"/>
      <c r="W186" s="199"/>
      <c r="X186" s="199"/>
      <c r="Y186" s="199"/>
      <c r="Z186" s="199"/>
      <c r="AA186" s="199"/>
      <c r="AB186" s="199"/>
      <c r="AC186" s="199"/>
      <c r="AD186" s="199"/>
      <c r="AE186" s="199"/>
      <c r="AF186" s="199"/>
      <c r="AG186" s="199"/>
      <c r="AH186" s="199"/>
      <c r="AI186" s="199"/>
      <c r="AJ186" s="199"/>
      <c r="AK186" s="199"/>
      <c r="AL186" s="199"/>
      <c r="AM186" s="199"/>
      <c r="AN186" s="199"/>
      <c r="AO186" s="199"/>
      <c r="AP186" s="199"/>
      <c r="AQ186" s="199"/>
      <c r="AR186" s="198"/>
      <c r="AS186" s="198"/>
      <c r="AT186" s="198"/>
      <c r="AU186" s="199"/>
      <c r="AV186" s="199"/>
      <c r="AW186" s="199"/>
      <c r="AX186" s="199"/>
      <c r="AY186" s="203"/>
    </row>
    <row r="187" spans="2:51" ht="12.75">
      <c r="B187" s="189"/>
      <c r="C187" s="201"/>
      <c r="D187" s="201"/>
      <c r="E187" s="201"/>
      <c r="F187" s="189"/>
      <c r="G187" s="201"/>
      <c r="H187" s="201"/>
      <c r="I187" s="201"/>
      <c r="J187" s="177"/>
      <c r="K187" s="177"/>
      <c r="L187" s="177"/>
      <c r="M187" s="189"/>
      <c r="N187" s="189"/>
      <c r="O187" s="189"/>
      <c r="P187" s="189"/>
      <c r="Q187" s="189"/>
      <c r="R187" s="189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3"/>
      <c r="AD187" s="203"/>
      <c r="AE187" s="203"/>
      <c r="AF187" s="203"/>
      <c r="AG187" s="203"/>
      <c r="AH187" s="203"/>
      <c r="AI187" s="203"/>
      <c r="AJ187" s="203"/>
      <c r="AK187" s="203"/>
      <c r="AL187" s="203"/>
      <c r="AM187" s="203"/>
      <c r="AN187" s="203"/>
      <c r="AO187" s="203"/>
      <c r="AP187" s="203"/>
      <c r="AQ187" s="203"/>
      <c r="AR187" s="205"/>
      <c r="AS187" s="205"/>
      <c r="AT187" s="205"/>
      <c r="AU187" s="203"/>
      <c r="AV187" s="203"/>
      <c r="AW187" s="203"/>
      <c r="AX187" s="203"/>
      <c r="AY187" s="203"/>
    </row>
    <row r="188" spans="2:18" ht="12.75">
      <c r="B188" s="189"/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</row>
    <row r="189" spans="2:18" ht="12.75">
      <c r="B189" s="189"/>
      <c r="C189" s="189"/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</row>
  </sheetData>
  <sheetProtection/>
  <mergeCells count="3">
    <mergeCell ref="C3:D3"/>
    <mergeCell ref="C26:D26"/>
    <mergeCell ref="K3:L3"/>
  </mergeCells>
  <printOptions horizontalCentered="1"/>
  <pageMargins left="0" right="0" top="0" bottom="0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3:F18"/>
  <sheetViews>
    <sheetView showGridLines="0" showRowColHeaders="0" tabSelected="1" zoomScalePageLayoutView="0" workbookViewId="0" topLeftCell="A1">
      <selection activeCell="I13" sqref="I13"/>
    </sheetView>
  </sheetViews>
  <sheetFormatPr defaultColWidth="9.140625" defaultRowHeight="12.75"/>
  <sheetData>
    <row r="3" spans="2:6" ht="12.75">
      <c r="B3" s="419" t="s">
        <v>228</v>
      </c>
      <c r="C3" s="419"/>
      <c r="D3" s="419"/>
      <c r="E3" s="419"/>
      <c r="F3" s="419"/>
    </row>
    <row r="5" spans="2:6" ht="12.75">
      <c r="B5" s="419" t="s">
        <v>229</v>
      </c>
      <c r="C5" s="419"/>
      <c r="D5" s="419"/>
      <c r="E5" s="419"/>
      <c r="F5" s="419"/>
    </row>
    <row r="7" spans="2:5" ht="12.75">
      <c r="B7" t="s">
        <v>236</v>
      </c>
      <c r="E7" t="s">
        <v>237</v>
      </c>
    </row>
    <row r="9" ht="12.75">
      <c r="B9" t="s">
        <v>230</v>
      </c>
    </row>
    <row r="11" ht="12.75">
      <c r="B11" t="s">
        <v>231</v>
      </c>
    </row>
    <row r="12" ht="12.75">
      <c r="B12" t="s">
        <v>232</v>
      </c>
    </row>
    <row r="13" ht="12.75">
      <c r="B13" t="s">
        <v>233</v>
      </c>
    </row>
    <row r="15" ht="12.75">
      <c r="B15" t="s">
        <v>235</v>
      </c>
    </row>
    <row r="16" ht="12.75">
      <c r="B16" t="s">
        <v>234</v>
      </c>
    </row>
    <row r="18" ht="12.75">
      <c r="F18" s="361"/>
    </row>
  </sheetData>
  <sheetProtection password="F635" sheet="1" objects="1" scenarios="1"/>
  <mergeCells count="2">
    <mergeCell ref="B3:F3"/>
    <mergeCell ref="B5:F5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W47"/>
  <sheetViews>
    <sheetView showGridLines="0" showRowColHeader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0.57421875" style="0" customWidth="1"/>
    <col min="3" max="3" width="10.28125" style="0" customWidth="1"/>
    <col min="4" max="4" width="4.421875" style="0" customWidth="1"/>
    <col min="5" max="5" width="8.7109375" style="0" customWidth="1"/>
    <col min="6" max="6" width="9.421875" style="0" customWidth="1"/>
    <col min="7" max="7" width="8.57421875" style="0" customWidth="1"/>
    <col min="8" max="8" width="6.8515625" style="0" customWidth="1"/>
    <col min="9" max="9" width="6.421875" style="0" customWidth="1"/>
    <col min="10" max="10" width="8.140625" style="0" customWidth="1"/>
    <col min="11" max="11" width="8.421875" style="0" customWidth="1"/>
    <col min="12" max="12" width="8.00390625" style="0" customWidth="1"/>
    <col min="13" max="13" width="8.140625" style="0" customWidth="1"/>
    <col min="14" max="14" width="8.421875" style="0" customWidth="1"/>
    <col min="15" max="15" width="7.57421875" style="0" customWidth="1"/>
    <col min="16" max="16" width="8.00390625" style="0" customWidth="1"/>
    <col min="17" max="17" width="8.7109375" style="0" bestFit="1" customWidth="1"/>
    <col min="18" max="18" width="5.421875" style="0" bestFit="1" customWidth="1"/>
    <col min="19" max="19" width="6.421875" style="0" customWidth="1"/>
    <col min="20" max="20" width="5.8515625" style="0" customWidth="1"/>
    <col min="21" max="21" width="6.421875" style="0" customWidth="1"/>
    <col min="23" max="23" width="3.421875" style="0" customWidth="1"/>
    <col min="24" max="24" width="10.7109375" style="0" bestFit="1" customWidth="1"/>
    <col min="25" max="25" width="9.28125" style="0" bestFit="1" customWidth="1"/>
    <col min="26" max="26" width="5.421875" style="0" bestFit="1" customWidth="1"/>
    <col min="27" max="27" width="5.140625" style="0" customWidth="1"/>
    <col min="28" max="28" width="3.28125" style="0" bestFit="1" customWidth="1"/>
    <col min="29" max="29" width="6.421875" style="0" bestFit="1" customWidth="1"/>
    <col min="30" max="30" width="4.8515625" style="0" bestFit="1" customWidth="1"/>
    <col min="31" max="31" width="5.140625" style="0" bestFit="1" customWidth="1"/>
    <col min="32" max="32" width="5.28125" style="0" bestFit="1" customWidth="1"/>
    <col min="33" max="33" width="7.57421875" style="0" bestFit="1" customWidth="1"/>
    <col min="34" max="34" width="6.28125" style="0" bestFit="1" customWidth="1"/>
    <col min="35" max="35" width="7.8515625" style="0" bestFit="1" customWidth="1"/>
    <col min="36" max="36" width="8.421875" style="0" bestFit="1" customWidth="1"/>
    <col min="37" max="37" width="10.140625" style="0" bestFit="1" customWidth="1"/>
    <col min="38" max="38" width="6.28125" style="0" bestFit="1" customWidth="1"/>
    <col min="39" max="39" width="7.28125" style="0" customWidth="1"/>
    <col min="40" max="40" width="6.8515625" style="0" customWidth="1"/>
  </cols>
  <sheetData>
    <row r="1" spans="1:17" ht="13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3.5" customHeight="1">
      <c r="A2" s="23"/>
      <c r="B2" s="435" t="s">
        <v>192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</row>
    <row r="3" spans="1:17" ht="13.5" customHeight="1">
      <c r="A3" s="23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</row>
    <row r="4" spans="1:17" ht="13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20" ht="13.5" customHeight="1" thickBo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"/>
      <c r="S5" s="2"/>
      <c r="T5" s="2"/>
    </row>
    <row r="6" spans="1:20" ht="12.75">
      <c r="A6" s="23"/>
      <c r="B6" s="429" t="s">
        <v>185</v>
      </c>
      <c r="C6" s="430"/>
      <c r="D6" s="311"/>
      <c r="E6" s="312"/>
      <c r="F6" s="313"/>
      <c r="G6" s="314"/>
      <c r="H6" s="314"/>
      <c r="I6" s="315"/>
      <c r="J6" s="156"/>
      <c r="K6" s="156"/>
      <c r="L6" s="316"/>
      <c r="M6" s="317"/>
      <c r="N6" s="317"/>
      <c r="O6" s="156"/>
      <c r="P6" s="156"/>
      <c r="Q6" s="319"/>
      <c r="R6" s="2"/>
      <c r="S6" s="2"/>
      <c r="T6" s="2"/>
    </row>
    <row r="7" spans="1:20" ht="13.5" thickBot="1">
      <c r="A7" s="23"/>
      <c r="B7" s="431"/>
      <c r="C7" s="432"/>
      <c r="D7" s="170"/>
      <c r="E7" s="320"/>
      <c r="F7" s="321"/>
      <c r="G7" s="173"/>
      <c r="H7" s="173"/>
      <c r="I7" s="322"/>
      <c r="J7" s="421" t="s">
        <v>260</v>
      </c>
      <c r="K7" s="421"/>
      <c r="L7" s="323"/>
      <c r="M7" s="207"/>
      <c r="N7" s="207"/>
      <c r="O7" s="421" t="s">
        <v>246</v>
      </c>
      <c r="P7" s="421"/>
      <c r="Q7" s="73"/>
      <c r="R7" s="436"/>
      <c r="S7" s="436"/>
      <c r="T7" s="436"/>
    </row>
    <row r="8" spans="1:19" ht="13.5" customHeight="1" thickBot="1">
      <c r="A8" s="23"/>
      <c r="B8" s="264"/>
      <c r="C8" s="173"/>
      <c r="D8" s="170"/>
      <c r="E8" s="324" t="s">
        <v>270</v>
      </c>
      <c r="F8" s="325"/>
      <c r="G8" s="173"/>
      <c r="H8" s="207"/>
      <c r="I8" s="207"/>
      <c r="J8" s="211" t="s">
        <v>275</v>
      </c>
      <c r="K8" s="376"/>
      <c r="L8" s="173"/>
      <c r="M8" s="207"/>
      <c r="N8" s="207"/>
      <c r="O8" s="374" t="s">
        <v>274</v>
      </c>
      <c r="P8" s="370"/>
      <c r="Q8" s="73"/>
      <c r="R8" s="209"/>
      <c r="S8" s="209"/>
    </row>
    <row r="9" spans="1:19" ht="13.5" customHeight="1" thickBot="1">
      <c r="A9" s="23"/>
      <c r="B9" s="264"/>
      <c r="C9" s="173"/>
      <c r="D9" s="207"/>
      <c r="E9" s="265" t="s">
        <v>215</v>
      </c>
      <c r="F9" s="326"/>
      <c r="G9" s="173"/>
      <c r="H9" s="207"/>
      <c r="I9" s="207"/>
      <c r="J9" s="170" t="s">
        <v>256</v>
      </c>
      <c r="K9" s="301"/>
      <c r="L9" s="173"/>
      <c r="M9" s="207"/>
      <c r="N9" s="207"/>
      <c r="O9" s="49" t="s">
        <v>247</v>
      </c>
      <c r="P9" s="370"/>
      <c r="Q9" s="73"/>
      <c r="R9" s="428"/>
      <c r="S9" s="428"/>
    </row>
    <row r="10" spans="1:19" ht="13.5" thickBot="1">
      <c r="A10" s="23"/>
      <c r="B10" s="264"/>
      <c r="C10" s="173"/>
      <c r="D10" s="170"/>
      <c r="E10" s="267" t="s">
        <v>252</v>
      </c>
      <c r="F10" s="327"/>
      <c r="G10" s="173"/>
      <c r="H10" s="207"/>
      <c r="I10" s="207"/>
      <c r="J10" s="170" t="s">
        <v>253</v>
      </c>
      <c r="K10" s="304"/>
      <c r="L10" s="207"/>
      <c r="M10" s="207"/>
      <c r="N10" s="207"/>
      <c r="O10" s="374" t="s">
        <v>248</v>
      </c>
      <c r="P10" s="371"/>
      <c r="Q10" s="73"/>
      <c r="R10" s="428"/>
      <c r="S10" s="428"/>
    </row>
    <row r="11" spans="1:19" ht="13.5" customHeight="1" thickBot="1">
      <c r="A11" s="23"/>
      <c r="B11" s="266"/>
      <c r="C11" s="173"/>
      <c r="D11" s="170"/>
      <c r="E11" s="267" t="s">
        <v>254</v>
      </c>
      <c r="F11" s="327"/>
      <c r="G11" s="173"/>
      <c r="H11" s="207"/>
      <c r="I11" s="207"/>
      <c r="J11" s="170" t="s">
        <v>255</v>
      </c>
      <c r="K11" s="301"/>
      <c r="L11" s="207"/>
      <c r="M11" s="207"/>
      <c r="N11" s="207"/>
      <c r="O11" s="49" t="s">
        <v>249</v>
      </c>
      <c r="P11" s="373"/>
      <c r="Q11" s="73"/>
      <c r="R11" s="218"/>
      <c r="S11" s="218"/>
    </row>
    <row r="12" spans="1:19" ht="13.5" thickBot="1">
      <c r="A12" s="23"/>
      <c r="B12" s="270"/>
      <c r="C12" s="271"/>
      <c r="D12" s="170"/>
      <c r="E12" s="272" t="s">
        <v>257</v>
      </c>
      <c r="F12" s="207"/>
      <c r="G12" s="207"/>
      <c r="H12" s="207"/>
      <c r="I12" s="207"/>
      <c r="J12" s="170" t="s">
        <v>278</v>
      </c>
      <c r="K12" s="301"/>
      <c r="L12" s="207"/>
      <c r="M12" s="207"/>
      <c r="N12" s="207"/>
      <c r="O12" s="374" t="s">
        <v>280</v>
      </c>
      <c r="P12" s="372"/>
      <c r="Q12" s="73"/>
      <c r="R12" s="428"/>
      <c r="S12" s="428"/>
    </row>
    <row r="13" spans="1:19" ht="13.5" customHeight="1" thickBot="1">
      <c r="A13" s="23"/>
      <c r="B13" s="270"/>
      <c r="C13" s="173"/>
      <c r="D13" s="170"/>
      <c r="E13" s="265" t="s">
        <v>258</v>
      </c>
      <c r="F13" s="207"/>
      <c r="G13" s="207"/>
      <c r="H13" s="207"/>
      <c r="I13" s="207"/>
      <c r="J13" s="211" t="s">
        <v>259</v>
      </c>
      <c r="K13" s="303"/>
      <c r="L13" s="207"/>
      <c r="M13" s="207"/>
      <c r="N13" s="207"/>
      <c r="O13" s="49" t="s">
        <v>271</v>
      </c>
      <c r="P13" s="371"/>
      <c r="Q13" s="73"/>
      <c r="R13" s="428"/>
      <c r="S13" s="428"/>
    </row>
    <row r="14" spans="1:19" ht="13.5" customHeight="1" thickBot="1">
      <c r="A14" s="23"/>
      <c r="B14" s="273"/>
      <c r="C14" s="173"/>
      <c r="D14" s="173"/>
      <c r="E14" s="272" t="s">
        <v>285</v>
      </c>
      <c r="F14" s="207"/>
      <c r="G14" s="207"/>
      <c r="H14" s="207"/>
      <c r="I14" s="207"/>
      <c r="J14" s="211" t="s">
        <v>43</v>
      </c>
      <c r="K14" s="344"/>
      <c r="L14" s="173"/>
      <c r="M14" s="368" t="s">
        <v>263</v>
      </c>
      <c r="N14" s="191"/>
      <c r="O14" s="207"/>
      <c r="P14" s="207"/>
      <c r="Q14" s="73"/>
      <c r="R14" s="2"/>
      <c r="S14" s="2"/>
    </row>
    <row r="15" spans="1:19" ht="13.5" customHeight="1" thickBot="1">
      <c r="A15" s="23"/>
      <c r="B15" s="328"/>
      <c r="C15" s="329"/>
      <c r="D15" s="275"/>
      <c r="E15" s="275"/>
      <c r="F15" s="276"/>
      <c r="G15" s="276"/>
      <c r="H15" s="276"/>
      <c r="I15" s="330"/>
      <c r="J15" s="275"/>
      <c r="K15" s="275"/>
      <c r="L15" s="331"/>
      <c r="M15" s="369" t="s">
        <v>264</v>
      </c>
      <c r="N15" s="193"/>
      <c r="O15" s="276"/>
      <c r="P15" s="276"/>
      <c r="Q15" s="159"/>
      <c r="R15" s="2"/>
      <c r="S15" s="2"/>
    </row>
    <row r="16" spans="1:19" ht="13.5" customHeight="1">
      <c r="A16" s="23"/>
      <c r="B16" s="429" t="s">
        <v>184</v>
      </c>
      <c r="C16" s="43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1"/>
      <c r="R16" s="2"/>
      <c r="S16" s="2"/>
    </row>
    <row r="17" spans="1:22" ht="13.5" customHeight="1" thickBot="1">
      <c r="A17" s="23"/>
      <c r="B17" s="431"/>
      <c r="C17" s="432"/>
      <c r="D17" s="173"/>
      <c r="E17" s="207"/>
      <c r="F17" s="207"/>
      <c r="G17" s="207"/>
      <c r="H17" s="207"/>
      <c r="I17" s="207"/>
      <c r="J17" s="207"/>
      <c r="K17" s="207"/>
      <c r="L17" s="207"/>
      <c r="M17" s="207"/>
      <c r="N17" s="334"/>
      <c r="O17" s="173"/>
      <c r="P17" s="207"/>
      <c r="Q17" s="263"/>
      <c r="R17" s="188"/>
      <c r="S17" s="188"/>
      <c r="T17" s="188"/>
      <c r="V17" s="171"/>
    </row>
    <row r="18" spans="1:22" ht="13.5" thickBot="1">
      <c r="A18" s="23"/>
      <c r="B18" s="278"/>
      <c r="C18" s="207"/>
      <c r="D18" s="43"/>
      <c r="E18" s="24" t="s">
        <v>0</v>
      </c>
      <c r="F18" s="335"/>
      <c r="G18" s="24" t="s">
        <v>3</v>
      </c>
      <c r="H18" s="207"/>
      <c r="I18" s="207"/>
      <c r="J18" s="207"/>
      <c r="K18" s="207"/>
      <c r="L18" s="207"/>
      <c r="M18" s="207"/>
      <c r="N18" s="173"/>
      <c r="O18" s="173"/>
      <c r="P18" s="279"/>
      <c r="Q18" s="263"/>
      <c r="R18" s="188"/>
      <c r="S18" s="188"/>
      <c r="T18" s="188"/>
      <c r="V18" s="171"/>
    </row>
    <row r="19" spans="1:22" ht="13.5" thickBot="1">
      <c r="A19" s="23"/>
      <c r="B19" s="433" t="s">
        <v>265</v>
      </c>
      <c r="C19" s="434"/>
      <c r="D19" s="207"/>
      <c r="E19" s="27" t="s">
        <v>1</v>
      </c>
      <c r="F19" s="28" t="s">
        <v>2</v>
      </c>
      <c r="G19" s="27" t="s">
        <v>4</v>
      </c>
      <c r="H19" s="28" t="s">
        <v>5</v>
      </c>
      <c r="I19" s="28" t="s">
        <v>6</v>
      </c>
      <c r="J19" s="28" t="s">
        <v>194</v>
      </c>
      <c r="K19" s="28" t="s">
        <v>195</v>
      </c>
      <c r="L19" s="28" t="s">
        <v>196</v>
      </c>
      <c r="M19" s="28" t="s">
        <v>197</v>
      </c>
      <c r="N19" s="280" t="s">
        <v>21</v>
      </c>
      <c r="O19" s="207"/>
      <c r="P19" s="207"/>
      <c r="Q19" s="263"/>
      <c r="R19" s="188"/>
      <c r="S19" s="188"/>
      <c r="T19" s="188"/>
      <c r="V19" s="171"/>
    </row>
    <row r="20" spans="1:22" ht="13.5" thickBot="1">
      <c r="A20" s="23"/>
      <c r="B20" s="422" t="s">
        <v>182</v>
      </c>
      <c r="C20" s="423"/>
      <c r="D20" s="170" t="s">
        <v>168</v>
      </c>
      <c r="E20" s="426"/>
      <c r="F20" s="306"/>
      <c r="G20" s="306"/>
      <c r="H20" s="307"/>
      <c r="I20" s="308"/>
      <c r="J20" s="308"/>
      <c r="K20" s="308"/>
      <c r="L20" s="307"/>
      <c r="M20" s="307"/>
      <c r="N20" s="426"/>
      <c r="O20" s="207" t="s">
        <v>168</v>
      </c>
      <c r="P20" s="207"/>
      <c r="Q20" s="263"/>
      <c r="R20" s="188"/>
      <c r="S20" s="188"/>
      <c r="T20" s="188"/>
      <c r="V20" s="171"/>
    </row>
    <row r="21" spans="1:18" ht="13.5" thickBot="1">
      <c r="A21" s="23"/>
      <c r="B21" s="422"/>
      <c r="C21" s="423"/>
      <c r="D21" s="216" t="s">
        <v>169</v>
      </c>
      <c r="E21" s="427"/>
      <c r="F21" s="362"/>
      <c r="G21" s="17"/>
      <c r="H21" s="16"/>
      <c r="I21" s="15"/>
      <c r="J21" s="15"/>
      <c r="K21" s="15"/>
      <c r="L21" s="14"/>
      <c r="M21" s="309"/>
      <c r="N21" s="427"/>
      <c r="O21" s="220" t="s">
        <v>169</v>
      </c>
      <c r="P21" s="207"/>
      <c r="Q21" s="263"/>
      <c r="R21" s="2"/>
    </row>
    <row r="22" spans="1:18" ht="13.5" thickBot="1">
      <c r="A22" s="23"/>
      <c r="B22" s="278"/>
      <c r="C22" s="207"/>
      <c r="D22" s="207"/>
      <c r="E22" s="207"/>
      <c r="F22" s="207"/>
      <c r="G22" s="207"/>
      <c r="H22" s="207"/>
      <c r="I22" s="310"/>
      <c r="J22" s="207"/>
      <c r="K22" s="207"/>
      <c r="L22" s="207"/>
      <c r="M22" s="207"/>
      <c r="N22" s="336"/>
      <c r="O22" s="207"/>
      <c r="P22" s="207"/>
      <c r="Q22" s="263"/>
      <c r="R22" s="2"/>
    </row>
    <row r="23" spans="1:22" ht="13.5" thickBot="1">
      <c r="A23" s="23"/>
      <c r="B23" s="422" t="s">
        <v>183</v>
      </c>
      <c r="C23" s="423"/>
      <c r="D23" s="337" t="s">
        <v>168</v>
      </c>
      <c r="E23" s="426"/>
      <c r="F23" s="306"/>
      <c r="G23" s="306"/>
      <c r="H23" s="307"/>
      <c r="I23" s="308"/>
      <c r="J23" s="308"/>
      <c r="K23" s="308"/>
      <c r="L23" s="307"/>
      <c r="M23" s="307"/>
      <c r="N23" s="426"/>
      <c r="O23" s="207" t="s">
        <v>168</v>
      </c>
      <c r="P23" s="207"/>
      <c r="Q23" s="263"/>
      <c r="R23" s="6"/>
      <c r="S23" s="188"/>
      <c r="T23" s="188"/>
      <c r="V23" s="171"/>
    </row>
    <row r="24" spans="1:22" ht="13.5" thickBot="1">
      <c r="A24" s="23"/>
      <c r="B24" s="422"/>
      <c r="C24" s="423"/>
      <c r="D24" s="216" t="s">
        <v>169</v>
      </c>
      <c r="E24" s="427"/>
      <c r="F24" s="362"/>
      <c r="G24" s="17"/>
      <c r="H24" s="16"/>
      <c r="I24" s="15"/>
      <c r="J24" s="15"/>
      <c r="K24" s="15"/>
      <c r="L24" s="14"/>
      <c r="M24" s="345"/>
      <c r="N24" s="427"/>
      <c r="O24" s="220" t="s">
        <v>169</v>
      </c>
      <c r="P24" s="207"/>
      <c r="Q24" s="263"/>
      <c r="R24" s="171"/>
      <c r="S24" s="188"/>
      <c r="T24" s="188"/>
      <c r="V24" s="171"/>
    </row>
    <row r="25" spans="1:22" ht="12.75">
      <c r="A25" s="292"/>
      <c r="B25" s="278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63"/>
      <c r="R25" s="188"/>
      <c r="S25" s="188"/>
      <c r="T25" s="188"/>
      <c r="V25" s="171"/>
    </row>
    <row r="26" spans="1:22" ht="12.75" customHeight="1" thickBot="1">
      <c r="A26" s="23"/>
      <c r="B26" s="278"/>
      <c r="C26" s="207"/>
      <c r="D26" s="207"/>
      <c r="E26" s="207"/>
      <c r="F26" s="207"/>
      <c r="G26" s="207"/>
      <c r="H26" s="207"/>
      <c r="I26" s="382"/>
      <c r="J26" s="2"/>
      <c r="K26" s="2"/>
      <c r="L26" s="2"/>
      <c r="M26" s="2"/>
      <c r="N26" s="207"/>
      <c r="O26" s="207"/>
      <c r="P26" s="207"/>
      <c r="Q26" s="263"/>
      <c r="V26" s="171"/>
    </row>
    <row r="27" spans="1:22" ht="13.5" thickBot="1">
      <c r="A27" s="23"/>
      <c r="B27" s="167"/>
      <c r="C27" s="2"/>
      <c r="D27" s="2"/>
      <c r="E27" s="288" t="s">
        <v>0</v>
      </c>
      <c r="F27" s="25" t="s">
        <v>171</v>
      </c>
      <c r="G27" s="289" t="s">
        <v>3</v>
      </c>
      <c r="H27" s="173"/>
      <c r="I27" s="207"/>
      <c r="J27" s="290"/>
      <c r="K27" s="173"/>
      <c r="L27" s="173"/>
      <c r="M27" s="173"/>
      <c r="N27" s="173"/>
      <c r="O27" s="2"/>
      <c r="P27" s="207"/>
      <c r="Q27" s="263"/>
      <c r="V27" s="171"/>
    </row>
    <row r="28" spans="2:19" ht="12.75" customHeight="1" thickBot="1">
      <c r="B28" s="420" t="s">
        <v>251</v>
      </c>
      <c r="C28" s="421"/>
      <c r="D28" s="2"/>
      <c r="E28" s="293" t="s">
        <v>1</v>
      </c>
      <c r="F28" s="27" t="s">
        <v>172</v>
      </c>
      <c r="G28" s="294" t="s">
        <v>173</v>
      </c>
      <c r="H28" s="28" t="s">
        <v>174</v>
      </c>
      <c r="I28" s="28" t="s">
        <v>175</v>
      </c>
      <c r="J28" s="28" t="s">
        <v>176</v>
      </c>
      <c r="K28" s="28" t="s">
        <v>177</v>
      </c>
      <c r="L28" s="28" t="s">
        <v>178</v>
      </c>
      <c r="M28" s="28" t="s">
        <v>179</v>
      </c>
      <c r="N28" s="280" t="s">
        <v>21</v>
      </c>
      <c r="O28" s="2"/>
      <c r="P28" s="2"/>
      <c r="Q28" s="73"/>
      <c r="R28" s="188"/>
      <c r="S28" s="188"/>
    </row>
    <row r="29" spans="2:17" ht="13.5" thickBot="1">
      <c r="B29" s="422" t="s">
        <v>266</v>
      </c>
      <c r="C29" s="423"/>
      <c r="D29" s="170" t="s">
        <v>168</v>
      </c>
      <c r="E29" s="424">
        <f>IF(E20="","",E20)</f>
      </c>
      <c r="F29" s="383">
        <f>IF(F20="","",F20*0.0630902)</f>
      </c>
      <c r="G29" s="383">
        <f>IF(G20="","",G20*0.3048)</f>
      </c>
      <c r="H29" s="384">
        <f>IF(H20="","",H20*0.02831685*60)</f>
      </c>
      <c r="I29" s="384">
        <f>IF(I20="","",I20*1000*0.2930711)</f>
      </c>
      <c r="J29" s="385">
        <f>IF(J20="","",93.3-((200-J20)-32)*5/9)</f>
      </c>
      <c r="K29" s="385">
        <f aca="true" t="shared" si="0" ref="K29:M30">IF(K20="","",(K20-32)*5/9)</f>
      </c>
      <c r="L29" s="385">
        <f t="shared" si="0"/>
      </c>
      <c r="M29" s="385">
        <f t="shared" si="0"/>
      </c>
      <c r="N29" s="424">
        <f>IF(N20="","",N20)</f>
      </c>
      <c r="O29" s="207" t="s">
        <v>168</v>
      </c>
      <c r="P29" s="2"/>
      <c r="Q29" s="73"/>
    </row>
    <row r="30" spans="2:17" ht="13.5" thickBot="1">
      <c r="B30" s="422"/>
      <c r="C30" s="423"/>
      <c r="D30" s="216" t="s">
        <v>169</v>
      </c>
      <c r="E30" s="425"/>
      <c r="F30" s="386">
        <f>IF(F21="","",F21*0.0630902)</f>
      </c>
      <c r="G30" s="387">
        <f>IF(G21="","",G21*0.3048)</f>
      </c>
      <c r="H30" s="388">
        <f>IF(H21="","",H21*0.02831685*60)</f>
      </c>
      <c r="I30" s="388">
        <f>IF(I21="","",I21*1000*0.2930711)</f>
      </c>
      <c r="J30" s="389">
        <f>IF(J21="","",93.3-((200-J21)-32)*5/9)</f>
      </c>
      <c r="K30" s="389">
        <f t="shared" si="0"/>
      </c>
      <c r="L30" s="298">
        <f t="shared" si="0"/>
      </c>
      <c r="M30" s="390">
        <f t="shared" si="0"/>
      </c>
      <c r="N30" s="425"/>
      <c r="O30" s="220" t="s">
        <v>169</v>
      </c>
      <c r="P30" s="2"/>
      <c r="Q30" s="73"/>
    </row>
    <row r="31" spans="2:19" ht="13.5" thickBot="1">
      <c r="B31" s="167"/>
      <c r="C31" s="2"/>
      <c r="D31" s="2"/>
      <c r="E31" s="207"/>
      <c r="F31" s="207"/>
      <c r="G31" s="207"/>
      <c r="H31" s="207"/>
      <c r="I31" s="310"/>
      <c r="J31" s="207"/>
      <c r="K31" s="207"/>
      <c r="L31" s="349"/>
      <c r="M31" s="349"/>
      <c r="N31" s="207"/>
      <c r="O31" s="2"/>
      <c r="P31" s="2"/>
      <c r="Q31" s="73"/>
      <c r="R31" s="188"/>
      <c r="S31" s="188"/>
    </row>
    <row r="32" spans="2:19" ht="13.5" thickBot="1">
      <c r="B32" s="422" t="s">
        <v>267</v>
      </c>
      <c r="C32" s="423"/>
      <c r="D32" s="337" t="s">
        <v>168</v>
      </c>
      <c r="E32" s="424">
        <f>IF(E23="","",E23)</f>
      </c>
      <c r="F32" s="383">
        <f>IF(F23="","",F23*0.0630902)</f>
      </c>
      <c r="G32" s="383">
        <f>IF(G23="","",G23*0.3048)</f>
      </c>
      <c r="H32" s="384">
        <f>IF(H23="","",H23*0.02831685*60)</f>
      </c>
      <c r="I32" s="384">
        <f>IF(I23="","",I23*1000*0.2930711)</f>
      </c>
      <c r="J32" s="385">
        <f>IF(J23="","",93.3-((200-J23)-32)*5/9)</f>
      </c>
      <c r="K32" s="385">
        <f aca="true" t="shared" si="1" ref="K32:M33">IF(K23="","",(K23-32)*5/9)</f>
      </c>
      <c r="L32" s="385">
        <f t="shared" si="1"/>
      </c>
      <c r="M32" s="385">
        <f t="shared" si="1"/>
      </c>
      <c r="N32" s="424">
        <f>IF(N23="","",N23)</f>
      </c>
      <c r="O32" s="207" t="s">
        <v>168</v>
      </c>
      <c r="P32" s="2"/>
      <c r="Q32" s="73"/>
      <c r="R32" s="188"/>
      <c r="S32" s="188"/>
    </row>
    <row r="33" spans="2:19" ht="13.5" thickBot="1">
      <c r="B33" s="422"/>
      <c r="C33" s="423"/>
      <c r="D33" s="216" t="s">
        <v>169</v>
      </c>
      <c r="E33" s="425"/>
      <c r="F33" s="386">
        <f>IF(F24="","",F24*0.0630902)</f>
      </c>
      <c r="G33" s="387">
        <f>IF(G24="","",G24*0.3048)</f>
      </c>
      <c r="H33" s="388">
        <f>IF(H24="","",H24*0.02831685*60)</f>
      </c>
      <c r="I33" s="388">
        <f>IF(I24="","",I24*1000*0.2930711)</f>
      </c>
      <c r="J33" s="389">
        <f>IF(J24="","",93.3-((200-J24)-32)*5/9)</f>
      </c>
      <c r="K33" s="389">
        <f t="shared" si="1"/>
      </c>
      <c r="L33" s="298">
        <f t="shared" si="1"/>
      </c>
      <c r="M33" s="298">
        <f t="shared" si="1"/>
      </c>
      <c r="N33" s="425"/>
      <c r="O33" s="220" t="s">
        <v>169</v>
      </c>
      <c r="P33" s="2"/>
      <c r="Q33" s="73"/>
      <c r="R33" s="188"/>
      <c r="S33" s="188"/>
    </row>
    <row r="34" spans="2:19" ht="12.75">
      <c r="B34" s="16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73"/>
      <c r="S34" s="188"/>
    </row>
    <row r="35" spans="2:22" ht="12.75">
      <c r="B35" s="167"/>
      <c r="C35" s="2"/>
      <c r="D35" s="2"/>
      <c r="E35" s="2"/>
      <c r="F35" s="2"/>
      <c r="G35" s="2"/>
      <c r="H35" s="2"/>
      <c r="I35" s="2"/>
      <c r="J35" s="2"/>
      <c r="K35" s="338" t="s">
        <v>198</v>
      </c>
      <c r="L35" s="207"/>
      <c r="M35" s="207"/>
      <c r="N35" s="207"/>
      <c r="O35" s="2"/>
      <c r="P35" s="2"/>
      <c r="Q35" s="73"/>
      <c r="S35" s="188"/>
      <c r="T35" s="188"/>
      <c r="U35" s="171"/>
      <c r="V35" s="171"/>
    </row>
    <row r="36" spans="2:22" ht="12.75">
      <c r="B36" s="375"/>
      <c r="C36" s="2"/>
      <c r="D36" s="2"/>
      <c r="E36" s="2"/>
      <c r="F36" s="2"/>
      <c r="G36" s="2"/>
      <c r="H36" s="2"/>
      <c r="I36" s="2"/>
      <c r="J36" s="2"/>
      <c r="K36" s="341" t="s">
        <v>170</v>
      </c>
      <c r="L36" s="220"/>
      <c r="M36" s="220"/>
      <c r="N36" s="220"/>
      <c r="O36" s="2"/>
      <c r="P36" s="2"/>
      <c r="Q36" s="73"/>
      <c r="R36" s="188"/>
      <c r="S36" s="188"/>
      <c r="T36" s="188"/>
      <c r="U36" s="171"/>
      <c r="V36" s="171"/>
    </row>
    <row r="37" spans="1:22" ht="15.75" thickBot="1">
      <c r="A37" s="23"/>
      <c r="B37" s="299"/>
      <c r="C37" s="300"/>
      <c r="D37" s="275"/>
      <c r="E37" s="342"/>
      <c r="F37" s="276"/>
      <c r="G37" s="190"/>
      <c r="H37" s="276"/>
      <c r="I37" s="343"/>
      <c r="J37" s="343"/>
      <c r="K37" s="343"/>
      <c r="L37" s="276"/>
      <c r="M37" s="276"/>
      <c r="N37" s="276"/>
      <c r="O37" s="276"/>
      <c r="P37" s="276"/>
      <c r="Q37" s="277"/>
      <c r="R37" s="171"/>
      <c r="S37" s="171"/>
      <c r="T37" s="171"/>
      <c r="U37" s="171"/>
      <c r="V37" s="171"/>
    </row>
    <row r="38" spans="18:22" ht="12.75">
      <c r="R38" s="171"/>
      <c r="S38" s="171"/>
      <c r="T38" s="171"/>
      <c r="U38" s="171"/>
      <c r="V38" s="171"/>
    </row>
    <row r="39" spans="9:22" ht="15">
      <c r="I39" s="219"/>
      <c r="R39" s="171"/>
      <c r="S39" s="171"/>
      <c r="T39" s="171"/>
      <c r="U39" s="171"/>
      <c r="V39" s="171"/>
    </row>
    <row r="40" spans="18:22" ht="12.75">
      <c r="R40" s="171"/>
      <c r="S40" s="171"/>
      <c r="T40" s="171"/>
      <c r="U40" s="171"/>
      <c r="V40" s="171"/>
    </row>
    <row r="41" spans="18:22" ht="12.75">
      <c r="R41" s="171"/>
      <c r="S41" s="171"/>
      <c r="T41" s="171"/>
      <c r="U41" s="171"/>
      <c r="V41" s="171"/>
    </row>
    <row r="42" spans="18:22" ht="12.75">
      <c r="R42" s="171"/>
      <c r="S42" s="171"/>
      <c r="T42" s="171"/>
      <c r="U42" s="171"/>
      <c r="V42" s="171"/>
    </row>
    <row r="43" spans="18:22" ht="12.75">
      <c r="R43" s="171"/>
      <c r="S43" s="171"/>
      <c r="T43" s="171"/>
      <c r="U43" s="171"/>
      <c r="V43" s="171"/>
    </row>
    <row r="47" spans="18:23" ht="12.75">
      <c r="R47" s="23"/>
      <c r="S47" s="23"/>
      <c r="T47" s="23"/>
      <c r="U47" s="23"/>
      <c r="V47" s="23"/>
      <c r="W47" s="23"/>
    </row>
  </sheetData>
  <sheetProtection password="F635" sheet="1" formatCells="0"/>
  <mergeCells count="24">
    <mergeCell ref="S12:S13"/>
    <mergeCell ref="B2:Q3"/>
    <mergeCell ref="R7:T7"/>
    <mergeCell ref="S9:S10"/>
    <mergeCell ref="R9:R10"/>
    <mergeCell ref="B6:C7"/>
    <mergeCell ref="J7:K7"/>
    <mergeCell ref="O7:P7"/>
    <mergeCell ref="N20:N21"/>
    <mergeCell ref="N23:N24"/>
    <mergeCell ref="R12:R13"/>
    <mergeCell ref="B20:C21"/>
    <mergeCell ref="B16:C17"/>
    <mergeCell ref="E20:E21"/>
    <mergeCell ref="E23:E24"/>
    <mergeCell ref="B19:C19"/>
    <mergeCell ref="B28:C28"/>
    <mergeCell ref="B23:C24"/>
    <mergeCell ref="E29:E30"/>
    <mergeCell ref="N29:N30"/>
    <mergeCell ref="B32:C33"/>
    <mergeCell ref="E32:E33"/>
    <mergeCell ref="N32:N33"/>
    <mergeCell ref="B29:C30"/>
  </mergeCells>
  <dataValidations count="13">
    <dataValidation type="decimal" allowBlank="1" showInputMessage="1" showErrorMessage="1" promptTitle="Range (Ft)" prompt="0 to 10000&#10;&#10;Std. &quot;0&quot;" error="Range: 0 to 10000 Feet Altitude, Please Try Again." sqref="K13">
      <formula1>0</formula1>
      <formula2>10000</formula2>
    </dataValidation>
    <dataValidation type="decimal" allowBlank="1" showInputMessage="1" showErrorMessage="1" promptTitle="Required MBH" prompt="Range: 0 - 200&#10;&#10;Standards&#10;Min. 15.0&#10;Max. 128.6" error="Value entered is outside the acceptable range.  Please enter a valid value." sqref="K8">
      <formula1>0</formula1>
      <formula2>200</formula2>
    </dataValidation>
    <dataValidation type="decimal" allowBlank="1" showInputMessage="1" showErrorMessage="1" promptTitle="Range ºF" prompt="30 - 100&#10;&#10;Std. &quot;60&quot;" sqref="K9">
      <formula1>30</formula1>
      <formula2>100</formula2>
    </dataValidation>
    <dataValidation type="decimal" allowBlank="1" showInputMessage="1" showErrorMessage="1" promptTitle="Range ºF" prompt="100 - 300&#10;&#10;Std. &quot;200&quot;&#10;" sqref="K10">
      <formula1>100</formula1>
      <formula2>300</formula2>
    </dataValidation>
    <dataValidation type="decimal" allowBlank="1" showInputMessage="1" showErrorMessage="1" promptTitle="Range ºF" prompt="5 - 60&#10;&#10;Std. &quot;20&quot;&#10;" sqref="K11">
      <formula1>5</formula1>
      <formula2>60</formula2>
    </dataValidation>
    <dataValidation type="decimal" allowBlank="1" showInputMessage="1" showErrorMessage="1" promptTitle="Range (Inches)" prompt="0 - .4&#10;&#10;Std. &quot;0&quot;&#10;" sqref="K12">
      <formula1>0</formula1>
      <formula2>0.4</formula2>
    </dataValidation>
    <dataValidation errorStyle="warning" type="decimal" allowBlank="1" showInputMessage="1" showErrorMessage="1" promptTitle="Range (%)" prompt="0 To 100&#10;&#10;Std. &quot;0&quot;" error="Values above 55% are Not Recommended" sqref="K14">
      <formula1>0</formula1>
      <formula2>55</formula2>
    </dataValidation>
    <dataValidation type="decimal" allowBlank="1" showInputMessage="1" showErrorMessage="1" promptTitle="Range °C" prompt="2.8 - 33.3&#10;&#10;Std. &quot;11.1&quot;" sqref="P11">
      <formula1>2.8</formula1>
      <formula2>33.3</formula2>
    </dataValidation>
    <dataValidation type="decimal" allowBlank="1" showInputMessage="1" showErrorMessage="1" promptTitle="Range meters" prompt="0 - 3048&#10;&#10;Std. &quot;0&quot;" sqref="P13">
      <formula1>0</formula1>
      <formula2>3048</formula2>
    </dataValidation>
    <dataValidation type="decimal" allowBlank="1" showInputMessage="1" showErrorMessage="1" promptTitle="Range mm H2O" prompt="0 - 10.1&#10;&#10;Std. &quot;0&quot;" sqref="P12">
      <formula1>0</formula1>
      <formula2>10.1</formula2>
    </dataValidation>
    <dataValidation type="decimal" allowBlank="1" showInputMessage="1" showErrorMessage="1" promptTitle="Range °C" prompt="37.8 - 148.8&#10;&#10;Std. &quot;93.3&quot;" sqref="P10">
      <formula1>37.8</formula1>
      <formula2>148.8</formula2>
    </dataValidation>
    <dataValidation type="decimal" allowBlank="1" showInputMessage="1" showErrorMessage="1" promptTitle="Range °C" prompt="-1.2 - 37.7&#10;&#10;Std &quot;15.6&quot;" sqref="P9">
      <formula1>-1.2</formula1>
      <formula2>37.7</formula2>
    </dataValidation>
    <dataValidation type="decimal" allowBlank="1" showInputMessage="1" showErrorMessage="1" promptTitle="Required  Watts" prompt="Range: 0 - 58614&#10;&#10;Standard &#10;Min. 4396&#10;Max. 37688" sqref="P8">
      <formula1>0</formula1>
      <formula2>358614</formula2>
    </dataValidation>
  </dataValidations>
  <printOptions horizontalCentered="1"/>
  <pageMargins left="0" right="0" top="0.75" bottom="0.5" header="0.25" footer="0"/>
  <pageSetup blackAndWhite="1" horizontalDpi="300" verticalDpi="300" orientation="landscape" scale="90" r:id="rId3"/>
  <headerFooter alignWithMargins="0">
    <oddFooter>&amp;L&amp;F&amp;R&amp;D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X34"/>
  <sheetViews>
    <sheetView showGridLines="0" showRowColHeader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11.421875" style="0" bestFit="1" customWidth="1"/>
    <col min="4" max="4" width="4.7109375" style="0" customWidth="1"/>
    <col min="5" max="5" width="8.7109375" style="0" customWidth="1"/>
    <col min="6" max="6" width="7.57421875" style="0" customWidth="1"/>
    <col min="7" max="7" width="8.57421875" style="0" customWidth="1"/>
    <col min="8" max="8" width="7.421875" style="0" customWidth="1"/>
    <col min="9" max="9" width="7.7109375" style="0" bestFit="1" customWidth="1"/>
    <col min="10" max="10" width="8.00390625" style="0" customWidth="1"/>
    <col min="11" max="11" width="7.8515625" style="0" bestFit="1" customWidth="1"/>
    <col min="12" max="12" width="7.7109375" style="0" bestFit="1" customWidth="1"/>
    <col min="13" max="13" width="8.140625" style="0" customWidth="1"/>
    <col min="14" max="14" width="7.7109375" style="0" bestFit="1" customWidth="1"/>
    <col min="16" max="16" width="8.28125" style="0" customWidth="1"/>
  </cols>
  <sheetData>
    <row r="1" spans="1:18" ht="13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3.5" customHeight="1">
      <c r="A2" s="23"/>
      <c r="B2" s="435" t="s">
        <v>191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</row>
    <row r="3" spans="1:18" ht="13.5" customHeight="1">
      <c r="A3" s="23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</row>
    <row r="4" spans="1:18" ht="13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13.5" customHeight="1" thickBo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13.5" customHeight="1">
      <c r="A6" s="23"/>
      <c r="B6" s="429" t="s">
        <v>185</v>
      </c>
      <c r="C6" s="43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1"/>
    </row>
    <row r="7" spans="1:18" ht="15.75" customHeight="1" thickBot="1">
      <c r="A7" s="23"/>
      <c r="B7" s="431"/>
      <c r="C7" s="432"/>
      <c r="D7" s="207"/>
      <c r="E7" s="262" t="s">
        <v>188</v>
      </c>
      <c r="F7" s="207"/>
      <c r="G7" s="207"/>
      <c r="H7" s="207"/>
      <c r="I7" s="207"/>
      <c r="J7" s="207"/>
      <c r="L7" s="207"/>
      <c r="M7" s="170" t="s">
        <v>1</v>
      </c>
      <c r="N7" s="207"/>
      <c r="O7" s="207"/>
      <c r="P7" s="207"/>
      <c r="Q7" s="207"/>
      <c r="R7" s="263"/>
    </row>
    <row r="8" spans="1:18" ht="15.75" customHeight="1">
      <c r="A8" s="23"/>
      <c r="B8" s="264"/>
      <c r="C8" s="173"/>
      <c r="D8" s="207"/>
      <c r="E8" s="262" t="s">
        <v>189</v>
      </c>
      <c r="F8" s="207"/>
      <c r="G8" s="207"/>
      <c r="H8" s="207"/>
      <c r="I8" s="207"/>
      <c r="J8" s="207"/>
      <c r="M8" s="170" t="s">
        <v>21</v>
      </c>
      <c r="N8" s="207"/>
      <c r="O8" s="207"/>
      <c r="R8" s="263"/>
    </row>
    <row r="9" spans="1:18" ht="12.75" customHeight="1" thickBot="1">
      <c r="A9" s="23"/>
      <c r="B9" s="264"/>
      <c r="C9" s="173"/>
      <c r="D9" s="207"/>
      <c r="E9" s="262"/>
      <c r="F9" s="207"/>
      <c r="G9" s="207"/>
      <c r="H9" s="207"/>
      <c r="I9" s="207"/>
      <c r="J9" s="207"/>
      <c r="K9" s="439" t="s">
        <v>260</v>
      </c>
      <c r="L9" s="439"/>
      <c r="M9" s="207"/>
      <c r="N9" s="207"/>
      <c r="O9" s="23"/>
      <c r="P9" s="439" t="s">
        <v>246</v>
      </c>
      <c r="Q9" s="439"/>
      <c r="R9" s="263"/>
    </row>
    <row r="10" spans="1:18" ht="15" customHeight="1" thickBot="1">
      <c r="A10" s="23"/>
      <c r="B10" s="264"/>
      <c r="C10" s="173"/>
      <c r="D10" s="207"/>
      <c r="E10" s="265" t="s">
        <v>215</v>
      </c>
      <c r="F10" s="207"/>
      <c r="G10" s="207"/>
      <c r="H10" s="207"/>
      <c r="I10" s="207"/>
      <c r="J10" s="207"/>
      <c r="K10" s="170" t="s">
        <v>256</v>
      </c>
      <c r="L10" s="301"/>
      <c r="M10" s="207"/>
      <c r="N10" s="207"/>
      <c r="O10" s="207"/>
      <c r="P10" s="366" t="s">
        <v>247</v>
      </c>
      <c r="Q10" s="370"/>
      <c r="R10" s="263"/>
    </row>
    <row r="11" spans="1:18" ht="13.5" customHeight="1" thickBot="1">
      <c r="A11" s="23"/>
      <c r="B11" s="266"/>
      <c r="C11" s="173"/>
      <c r="D11" s="207"/>
      <c r="E11" s="267" t="s">
        <v>252</v>
      </c>
      <c r="F11" s="207"/>
      <c r="G11" s="207"/>
      <c r="H11" s="207"/>
      <c r="I11" s="207"/>
      <c r="J11" s="207"/>
      <c r="K11" s="170" t="s">
        <v>253</v>
      </c>
      <c r="L11" s="302"/>
      <c r="M11" s="207"/>
      <c r="N11" s="207"/>
      <c r="O11" s="207"/>
      <c r="P11" s="367" t="s">
        <v>248</v>
      </c>
      <c r="Q11" s="371"/>
      <c r="R11" s="269"/>
    </row>
    <row r="12" spans="1:18" ht="13.5" customHeight="1" thickBot="1">
      <c r="A12" s="23"/>
      <c r="B12" s="270"/>
      <c r="C12" s="271"/>
      <c r="D12" s="207"/>
      <c r="E12" s="272" t="s">
        <v>257</v>
      </c>
      <c r="F12" s="207"/>
      <c r="G12" s="207"/>
      <c r="H12" s="207"/>
      <c r="I12" s="207"/>
      <c r="J12" s="207"/>
      <c r="K12" s="170" t="s">
        <v>278</v>
      </c>
      <c r="L12" s="301"/>
      <c r="M12" s="207"/>
      <c r="N12" s="207"/>
      <c r="O12" s="207"/>
      <c r="P12" s="367" t="s">
        <v>280</v>
      </c>
      <c r="Q12" s="372"/>
      <c r="R12" s="263"/>
    </row>
    <row r="13" spans="1:18" ht="13.5" thickBot="1">
      <c r="A13" s="23"/>
      <c r="B13" s="270"/>
      <c r="C13" s="173"/>
      <c r="D13" s="207"/>
      <c r="E13" s="265" t="s">
        <v>258</v>
      </c>
      <c r="F13" s="207"/>
      <c r="G13" s="207"/>
      <c r="H13" s="207"/>
      <c r="I13" s="207"/>
      <c r="J13" s="207"/>
      <c r="K13" s="211" t="s">
        <v>259</v>
      </c>
      <c r="L13" s="303"/>
      <c r="M13" s="207"/>
      <c r="N13" s="207"/>
      <c r="O13" s="207"/>
      <c r="P13" s="49" t="s">
        <v>271</v>
      </c>
      <c r="Q13" s="371"/>
      <c r="R13" s="263"/>
    </row>
    <row r="14" spans="1:18" ht="13.5" customHeight="1" thickBot="1">
      <c r="A14" s="23"/>
      <c r="B14" s="264"/>
      <c r="C14" s="271"/>
      <c r="D14" s="207"/>
      <c r="E14" s="267" t="s">
        <v>254</v>
      </c>
      <c r="F14" s="207"/>
      <c r="G14" s="207"/>
      <c r="H14" s="207"/>
      <c r="I14" s="207"/>
      <c r="J14" s="207"/>
      <c r="K14" s="170" t="s">
        <v>255</v>
      </c>
      <c r="L14" s="304"/>
      <c r="M14" s="207"/>
      <c r="N14" s="207"/>
      <c r="O14" s="207"/>
      <c r="P14" s="49" t="s">
        <v>249</v>
      </c>
      <c r="Q14" s="373"/>
      <c r="R14" s="263"/>
    </row>
    <row r="15" spans="1:18" ht="13.5" customHeight="1" thickBot="1">
      <c r="A15" s="23"/>
      <c r="B15" s="273"/>
      <c r="C15" s="271"/>
      <c r="D15" s="207"/>
      <c r="E15" s="272" t="s">
        <v>289</v>
      </c>
      <c r="F15" s="207"/>
      <c r="G15" s="207"/>
      <c r="H15" s="207"/>
      <c r="I15" s="207"/>
      <c r="J15" s="207"/>
      <c r="K15" s="211" t="s">
        <v>43</v>
      </c>
      <c r="L15" s="305"/>
      <c r="M15" s="207"/>
      <c r="N15" s="368" t="s">
        <v>261</v>
      </c>
      <c r="O15" s="191"/>
      <c r="P15" s="207"/>
      <c r="Q15" s="23"/>
      <c r="R15" s="263"/>
    </row>
    <row r="16" spans="1:18" ht="13.5" customHeight="1" thickBot="1">
      <c r="A16" s="23"/>
      <c r="B16" s="274"/>
      <c r="C16" s="275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369" t="s">
        <v>262</v>
      </c>
      <c r="O16" s="193"/>
      <c r="P16" s="276"/>
      <c r="Q16" s="23"/>
      <c r="R16" s="277"/>
    </row>
    <row r="17" spans="1:18" ht="12.75">
      <c r="A17" s="23"/>
      <c r="B17" s="429" t="s">
        <v>184</v>
      </c>
      <c r="C17" s="43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1"/>
    </row>
    <row r="18" spans="1:18" ht="13.5" thickBot="1">
      <c r="A18" s="23"/>
      <c r="B18" s="431"/>
      <c r="C18" s="432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63"/>
    </row>
    <row r="19" spans="1:18" ht="13.5" thickBot="1">
      <c r="A19" s="23"/>
      <c r="B19" s="278"/>
      <c r="C19" s="207"/>
      <c r="D19" s="173"/>
      <c r="E19" s="24" t="s">
        <v>0</v>
      </c>
      <c r="F19" s="207"/>
      <c r="G19" s="24" t="s">
        <v>3</v>
      </c>
      <c r="H19" s="173"/>
      <c r="I19" s="173"/>
      <c r="J19" s="207"/>
      <c r="K19" s="207"/>
      <c r="L19" s="173"/>
      <c r="M19" s="173"/>
      <c r="N19" s="173"/>
      <c r="O19" s="173"/>
      <c r="P19" s="279"/>
      <c r="Q19" s="207"/>
      <c r="R19" s="263"/>
    </row>
    <row r="20" spans="1:18" ht="15" customHeight="1" thickBot="1">
      <c r="A20" s="23"/>
      <c r="B20" s="278"/>
      <c r="C20" s="207"/>
      <c r="D20" s="207"/>
      <c r="E20" s="27" t="s">
        <v>1</v>
      </c>
      <c r="F20" s="28" t="s">
        <v>2</v>
      </c>
      <c r="G20" s="27" t="s">
        <v>4</v>
      </c>
      <c r="H20" s="28" t="s">
        <v>5</v>
      </c>
      <c r="I20" s="28" t="s">
        <v>6</v>
      </c>
      <c r="J20" s="28" t="s">
        <v>194</v>
      </c>
      <c r="K20" s="28" t="s">
        <v>195</v>
      </c>
      <c r="L20" s="28" t="s">
        <v>196</v>
      </c>
      <c r="M20" s="28" t="s">
        <v>197</v>
      </c>
      <c r="N20" s="280" t="s">
        <v>21</v>
      </c>
      <c r="O20" s="207"/>
      <c r="P20" s="207"/>
      <c r="Q20" s="207"/>
      <c r="R20" s="263"/>
    </row>
    <row r="21" spans="1:20" ht="13.5" customHeight="1" thickBot="1">
      <c r="A21" s="23"/>
      <c r="B21" s="422" t="s">
        <v>250</v>
      </c>
      <c r="C21" s="423"/>
      <c r="D21" s="207"/>
      <c r="E21" s="426"/>
      <c r="F21" s="306"/>
      <c r="G21" s="306"/>
      <c r="H21" s="307"/>
      <c r="I21" s="308"/>
      <c r="J21" s="308"/>
      <c r="K21" s="308"/>
      <c r="L21" s="307"/>
      <c r="M21" s="307"/>
      <c r="N21" s="426"/>
      <c r="O21" s="281" t="s">
        <v>201</v>
      </c>
      <c r="P21" s="207"/>
      <c r="Q21" s="207"/>
      <c r="R21" s="282"/>
      <c r="T21" s="211"/>
    </row>
    <row r="22" spans="1:18" ht="13.5" thickBot="1">
      <c r="A22" s="23"/>
      <c r="B22" s="422"/>
      <c r="C22" s="423"/>
      <c r="D22" s="173"/>
      <c r="E22" s="427"/>
      <c r="F22" s="362"/>
      <c r="G22" s="17"/>
      <c r="H22" s="16"/>
      <c r="I22" s="15"/>
      <c r="J22" s="15"/>
      <c r="K22" s="15"/>
      <c r="L22" s="14"/>
      <c r="M22" s="309"/>
      <c r="N22" s="427"/>
      <c r="O22" s="283" t="s">
        <v>200</v>
      </c>
      <c r="P22" s="220"/>
      <c r="Q22" s="220"/>
      <c r="R22" s="263"/>
    </row>
    <row r="23" spans="1:18" ht="13.5" thickBot="1">
      <c r="A23" s="23"/>
      <c r="B23" s="278"/>
      <c r="C23" s="207"/>
      <c r="D23" s="207"/>
      <c r="E23" s="284"/>
      <c r="F23" s="285"/>
      <c r="G23" s="207"/>
      <c r="H23" s="268"/>
      <c r="I23" s="286"/>
      <c r="J23" s="310"/>
      <c r="K23" s="287"/>
      <c r="L23" s="207"/>
      <c r="M23" s="207"/>
      <c r="N23" s="173"/>
      <c r="O23" s="173"/>
      <c r="P23" s="173"/>
      <c r="Q23" s="173"/>
      <c r="R23" s="263"/>
    </row>
    <row r="24" spans="1:18" ht="13.5" thickBot="1">
      <c r="A24" s="23"/>
      <c r="B24" s="278"/>
      <c r="C24" s="207"/>
      <c r="D24" s="173"/>
      <c r="E24" s="288" t="s">
        <v>0</v>
      </c>
      <c r="F24" s="25" t="s">
        <v>171</v>
      </c>
      <c r="G24" s="289" t="s">
        <v>3</v>
      </c>
      <c r="H24" s="173"/>
      <c r="I24" s="207"/>
      <c r="J24" s="290"/>
      <c r="K24" s="173"/>
      <c r="L24" s="173"/>
      <c r="M24" s="173"/>
      <c r="N24" s="173"/>
      <c r="O24" s="291"/>
      <c r="P24" s="291"/>
      <c r="Q24" s="291"/>
      <c r="R24" s="263"/>
    </row>
    <row r="25" spans="1:18" ht="13.5" thickBot="1">
      <c r="A25" s="292"/>
      <c r="B25" s="278"/>
      <c r="C25" s="207"/>
      <c r="D25" s="173"/>
      <c r="E25" s="293" t="s">
        <v>1</v>
      </c>
      <c r="F25" s="27" t="s">
        <v>172</v>
      </c>
      <c r="G25" s="294" t="s">
        <v>173</v>
      </c>
      <c r="H25" s="28" t="s">
        <v>174</v>
      </c>
      <c r="I25" s="28" t="s">
        <v>175</v>
      </c>
      <c r="J25" s="28" t="s">
        <v>176</v>
      </c>
      <c r="K25" s="28" t="s">
        <v>177</v>
      </c>
      <c r="L25" s="28" t="s">
        <v>178</v>
      </c>
      <c r="M25" s="28" t="s">
        <v>179</v>
      </c>
      <c r="N25" s="280" t="s">
        <v>21</v>
      </c>
      <c r="O25" s="291"/>
      <c r="P25" s="291"/>
      <c r="Q25" s="291"/>
      <c r="R25" s="263"/>
    </row>
    <row r="26" spans="1:18" ht="12.75" customHeight="1" thickBot="1">
      <c r="A26" s="23"/>
      <c r="B26" s="422" t="s">
        <v>186</v>
      </c>
      <c r="C26" s="423"/>
      <c r="D26" s="173"/>
      <c r="E26" s="437">
        <f>IF(E21="","",E21)</f>
      </c>
      <c r="F26" s="295">
        <f>IF(F21="","",F21*0.0630902)</f>
      </c>
      <c r="G26" s="295">
        <f>IF(G21="","",G21*0.3048)</f>
      </c>
      <c r="H26" s="296">
        <f>IF(H21="","",H21*0.02831685*60)</f>
      </c>
      <c r="I26" s="377">
        <f>IF(I21="","",I21*1000*0.2930711)</f>
      </c>
      <c r="J26" s="296">
        <f>IF(J21="","",93.3-((200-J21)-32)*5/9)</f>
      </c>
      <c r="K26" s="296">
        <f aca="true" t="shared" si="0" ref="K26:M27">IF(K21="","",(K21-32)*5/9)</f>
      </c>
      <c r="L26" s="296">
        <f t="shared" si="0"/>
      </c>
      <c r="M26" s="296">
        <f t="shared" si="0"/>
      </c>
      <c r="N26" s="437">
        <f>IF(N21="","",N21)</f>
      </c>
      <c r="O26" s="281" t="s">
        <v>201</v>
      </c>
      <c r="P26" s="207"/>
      <c r="Q26" s="207"/>
      <c r="R26" s="282"/>
    </row>
    <row r="27" spans="1:18" ht="13.5" customHeight="1" thickBot="1">
      <c r="A27" s="23"/>
      <c r="B27" s="422"/>
      <c r="C27" s="423"/>
      <c r="D27" s="173"/>
      <c r="E27" s="438"/>
      <c r="F27" s="391">
        <f>IF(F22="","",F22*0.0630902)</f>
      </c>
      <c r="G27" s="297">
        <f>IF(G22="","",G22*0.3048)</f>
      </c>
      <c r="H27" s="298">
        <f>IF(H22="","",H22*0.02831685*60)</f>
      </c>
      <c r="I27" s="378">
        <f>IF(I22="","",I22*1000*0.2930711)</f>
      </c>
      <c r="J27" s="298">
        <f>IF(J22="","",93.3-((200-J22)-32)*5/9)</f>
      </c>
      <c r="K27" s="298">
        <f t="shared" si="0"/>
      </c>
      <c r="L27" s="298">
        <f t="shared" si="0"/>
      </c>
      <c r="M27" s="298">
        <f t="shared" si="0"/>
      </c>
      <c r="N27" s="438"/>
      <c r="O27" s="283" t="s">
        <v>200</v>
      </c>
      <c r="P27" s="220"/>
      <c r="Q27" s="220"/>
      <c r="R27" s="263"/>
    </row>
    <row r="28" spans="1:18" ht="12.75">
      <c r="A28" s="23"/>
      <c r="B28" s="264"/>
      <c r="C28" s="350"/>
      <c r="D28" s="207"/>
      <c r="E28" s="207"/>
      <c r="F28" s="207"/>
      <c r="G28" s="207"/>
      <c r="H28" s="207"/>
      <c r="I28" s="207"/>
      <c r="J28" s="310"/>
      <c r="K28" s="207"/>
      <c r="L28" s="207"/>
      <c r="M28" s="207"/>
      <c r="N28" s="207"/>
      <c r="O28" s="207"/>
      <c r="P28" s="207"/>
      <c r="Q28" s="207"/>
      <c r="R28" s="263"/>
    </row>
    <row r="29" spans="2:18" ht="12.75">
      <c r="B29" s="167"/>
      <c r="C29" s="2"/>
      <c r="D29" s="2"/>
      <c r="E29" s="2"/>
      <c r="F29" s="36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73"/>
    </row>
    <row r="30" spans="2:18" ht="13.5" thickBot="1">
      <c r="B30" s="181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159"/>
    </row>
    <row r="32" spans="3:24" ht="12.75">
      <c r="C32" s="228"/>
      <c r="X32" s="59"/>
    </row>
    <row r="34" ht="12.75">
      <c r="B34" s="228"/>
    </row>
  </sheetData>
  <sheetProtection password="F635" sheet="1" formatCells="0"/>
  <mergeCells count="11">
    <mergeCell ref="K9:L9"/>
    <mergeCell ref="B2:R3"/>
    <mergeCell ref="B6:C7"/>
    <mergeCell ref="E21:E22"/>
    <mergeCell ref="E26:E27"/>
    <mergeCell ref="N21:N22"/>
    <mergeCell ref="N26:N27"/>
    <mergeCell ref="B17:C18"/>
    <mergeCell ref="B21:C22"/>
    <mergeCell ref="B26:C27"/>
    <mergeCell ref="P9:Q9"/>
  </mergeCells>
  <dataValidations count="11">
    <dataValidation type="decimal" allowBlank="1" showInputMessage="1" showErrorMessage="1" promptTitle="Range ºF" prompt="30 - 100&#10;&#10;Std. &quot;60&quot;" sqref="L10">
      <formula1>30</formula1>
      <formula2>100</formula2>
    </dataValidation>
    <dataValidation type="decimal" allowBlank="1" showInputMessage="1" showErrorMessage="1" promptTitle="Range ºF" prompt="100 - 300&#10;&#10;Std. &quot;200&quot;" sqref="L11">
      <formula1>100</formula1>
      <formula2>300</formula2>
    </dataValidation>
    <dataValidation type="decimal" allowBlank="1" showInputMessage="1" showErrorMessage="1" promptTitle="Range (Inches)" prompt="0 - .4&#10;&#10;Std. &quot;0&quot;" sqref="L12">
      <formula1>0</formula1>
      <formula2>0.4</formula2>
    </dataValidation>
    <dataValidation type="decimal" allowBlank="1" showInputMessage="1" showErrorMessage="1" promptTitle="Range (Ft)" prompt="0 to 10000&#10;&#10;Std. &quot;0&quot;&#10;" error="Range: 0 to 10,000 Feet Altitude, Please Try Again." sqref="L13">
      <formula1>0</formula1>
      <formula2>10000</formula2>
    </dataValidation>
    <dataValidation type="decimal" allowBlank="1" showInputMessage="1" showErrorMessage="1" promptTitle="Range (%)" prompt="0 To 100&#10;&#10;Std. &quot;0&quot;" error="Values above 55% are Not Recommended" sqref="L15">
      <formula1>0</formula1>
      <formula2>100</formula2>
    </dataValidation>
    <dataValidation type="decimal" allowBlank="1" showInputMessage="1" showErrorMessage="1" promptTitle="Range ºF" prompt="5 - 60&#10;&#10;Std. &quot;20&quot;" sqref="L14">
      <formula1>0.1</formula1>
      <formula2>60</formula2>
    </dataValidation>
    <dataValidation type="decimal" allowBlank="1" showInputMessage="1" showErrorMessage="1" promptTitle="Range °C" prompt="-1.2 - 37.7&#10;&#10;Std &quot;15.6&quot;" sqref="Q10">
      <formula1>-1.2</formula1>
      <formula2>37.7</formula2>
    </dataValidation>
    <dataValidation type="decimal" allowBlank="1" showInputMessage="1" showErrorMessage="1" promptTitle="Range °C" prompt="37.8 - 148.8&#10;&#10;Std. &quot;93.3&quot;" sqref="Q11">
      <formula1>37.8</formula1>
      <formula2>148.8</formula2>
    </dataValidation>
    <dataValidation type="decimal" allowBlank="1" showInputMessage="1" showErrorMessage="1" promptTitle="Range mm H2O" prompt="0 - 10.1&#10;&#10;Std. &quot;0&quot;" sqref="Q12">
      <formula1>0</formula1>
      <formula2>10.1</formula2>
    </dataValidation>
    <dataValidation type="decimal" allowBlank="1" showInputMessage="1" showErrorMessage="1" promptTitle="Range meters" prompt="0 - 3048&#10;&#10;Std. &quot;0&quot;" sqref="Q13">
      <formula1>0</formula1>
      <formula2>3048</formula2>
    </dataValidation>
    <dataValidation type="decimal" allowBlank="1" showInputMessage="1" showErrorMessage="1" promptTitle="Range °C" prompt="2.8 - 33.3&#10;&#10;Std. &quot;11.1&quot;" sqref="Q14">
      <formula1>2.8</formula1>
      <formula2>33.3</formula2>
    </dataValidation>
  </dataValidations>
  <printOptions/>
  <pageMargins left="0.75" right="0.75" top="1" bottom="1" header="0.5" footer="0.5"/>
  <pageSetup blackAndWhite="1" fitToHeight="1" fitToWidth="1" horizontalDpi="600" verticalDpi="600" orientation="landscape" scale="88" r:id="rId3"/>
  <headerFooter alignWithMargins="0">
    <oddFooter>&amp;L&amp;F&amp;R&amp;D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S36"/>
  <sheetViews>
    <sheetView showGridLines="0" showRowColHeaders="0" showOutlineSymbols="0" zoomScalePageLayoutView="0" workbookViewId="0" topLeftCell="A1">
      <selection activeCell="A4" sqref="A4"/>
    </sheetView>
  </sheetViews>
  <sheetFormatPr defaultColWidth="9.140625" defaultRowHeight="12.75"/>
  <cols>
    <col min="1" max="1" width="2.140625" style="0" customWidth="1"/>
    <col min="2" max="2" width="13.421875" style="0" customWidth="1"/>
    <col min="3" max="3" width="11.7109375" style="0" customWidth="1"/>
    <col min="4" max="4" width="3.8515625" style="0" customWidth="1"/>
    <col min="5" max="5" width="8.7109375" style="0" customWidth="1"/>
    <col min="6" max="6" width="9.57421875" style="0" customWidth="1"/>
    <col min="7" max="7" width="8.140625" style="0" customWidth="1"/>
    <col min="8" max="8" width="8.57421875" style="0" customWidth="1"/>
    <col min="9" max="9" width="10.140625" style="0" bestFit="1" customWidth="1"/>
    <col min="10" max="11" width="8.28125" style="0" bestFit="1" customWidth="1"/>
    <col min="12" max="12" width="7.421875" style="0" customWidth="1"/>
    <col min="13" max="13" width="8.00390625" style="0" customWidth="1"/>
    <col min="14" max="14" width="7.57421875" style="0" customWidth="1"/>
    <col min="15" max="15" width="12.57421875" style="0" customWidth="1"/>
    <col min="16" max="16" width="5.7109375" style="0" customWidth="1"/>
    <col min="18" max="18" width="6.421875" style="0" customWidth="1"/>
    <col min="19" max="19" width="10.7109375" style="0" customWidth="1"/>
    <col min="20" max="20" width="9.28125" style="0" bestFit="1" customWidth="1"/>
    <col min="21" max="21" width="6.421875" style="0" customWidth="1"/>
    <col min="22" max="22" width="5.8515625" style="0" customWidth="1"/>
    <col min="23" max="23" width="6.00390625" style="0" customWidth="1"/>
    <col min="24" max="24" width="6.421875" style="0" bestFit="1" customWidth="1"/>
    <col min="25" max="25" width="4.8515625" style="0" bestFit="1" customWidth="1"/>
    <col min="26" max="26" width="5.140625" style="0" bestFit="1" customWidth="1"/>
    <col min="27" max="27" width="5.28125" style="0" bestFit="1" customWidth="1"/>
    <col min="28" max="28" width="7.57421875" style="0" bestFit="1" customWidth="1"/>
    <col min="29" max="29" width="6.28125" style="0" bestFit="1" customWidth="1"/>
    <col min="31" max="31" width="8.421875" style="0" bestFit="1" customWidth="1"/>
    <col min="32" max="32" width="10.140625" style="0" customWidth="1"/>
    <col min="33" max="33" width="6.28125" style="0" bestFit="1" customWidth="1"/>
    <col min="34" max="34" width="6.8515625" style="0" bestFit="1" customWidth="1"/>
    <col min="35" max="35" width="7.28125" style="0" bestFit="1" customWidth="1"/>
  </cols>
  <sheetData>
    <row r="1" spans="1:16" ht="13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2.75" customHeight="1">
      <c r="A2" s="23"/>
      <c r="B2" s="435" t="s">
        <v>193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1:17" ht="12.75" customHeight="1">
      <c r="A3" s="23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2"/>
    </row>
    <row r="4" spans="1:21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"/>
      <c r="R4" s="2"/>
      <c r="S4" s="2"/>
      <c r="T4" s="2"/>
      <c r="U4" s="2"/>
    </row>
    <row r="5" spans="1:21" ht="13.5" thickBo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"/>
      <c r="R5" s="2"/>
      <c r="S5" s="2"/>
      <c r="T5" s="2"/>
      <c r="U5" s="2"/>
    </row>
    <row r="6" spans="1:21" ht="12.75">
      <c r="A6" s="23"/>
      <c r="B6" s="429" t="s">
        <v>185</v>
      </c>
      <c r="C6" s="430"/>
      <c r="D6" s="311"/>
      <c r="E6" s="312"/>
      <c r="F6" s="313"/>
      <c r="G6" s="314"/>
      <c r="H6" s="314"/>
      <c r="I6" s="315"/>
      <c r="J6" s="316"/>
      <c r="K6" s="315"/>
      <c r="L6" s="316"/>
      <c r="M6" s="317"/>
      <c r="N6" s="317"/>
      <c r="O6" s="318"/>
      <c r="P6" s="346"/>
      <c r="Q6" s="171"/>
      <c r="R6" s="171"/>
      <c r="S6" s="171"/>
      <c r="T6" s="171"/>
      <c r="U6" s="2"/>
    </row>
    <row r="7" spans="1:21" ht="13.5" thickBot="1">
      <c r="A7" s="23"/>
      <c r="B7" s="431"/>
      <c r="C7" s="432"/>
      <c r="D7" s="170"/>
      <c r="E7" s="320"/>
      <c r="F7" s="321"/>
      <c r="G7" s="173"/>
      <c r="H7" s="173"/>
      <c r="I7" s="322"/>
      <c r="J7" s="434" t="s">
        <v>260</v>
      </c>
      <c r="K7" s="434"/>
      <c r="L7" s="207"/>
      <c r="M7" s="207"/>
      <c r="N7" s="434" t="s">
        <v>246</v>
      </c>
      <c r="O7" s="434"/>
      <c r="P7" s="263"/>
      <c r="Q7" s="5"/>
      <c r="R7" s="436"/>
      <c r="S7" s="436"/>
      <c r="T7" s="436"/>
      <c r="U7" s="2"/>
    </row>
    <row r="8" spans="1:21" ht="13.5" thickBot="1">
      <c r="A8" s="23"/>
      <c r="B8" s="264"/>
      <c r="C8" s="173"/>
      <c r="D8" s="170"/>
      <c r="E8" s="324" t="s">
        <v>270</v>
      </c>
      <c r="F8" s="325"/>
      <c r="G8" s="173"/>
      <c r="H8" s="207"/>
      <c r="I8" s="207"/>
      <c r="J8" s="211" t="s">
        <v>275</v>
      </c>
      <c r="K8" s="376"/>
      <c r="L8" s="207"/>
      <c r="M8" s="207"/>
      <c r="N8" s="211" t="s">
        <v>274</v>
      </c>
      <c r="O8" s="376"/>
      <c r="P8" s="263"/>
      <c r="Q8" s="172"/>
      <c r="R8" s="209"/>
      <c r="S8" s="209"/>
      <c r="T8" s="209"/>
      <c r="U8" s="2"/>
    </row>
    <row r="9" spans="1:21" ht="13.5" thickBot="1">
      <c r="A9" s="23"/>
      <c r="B9" s="264"/>
      <c r="C9" s="173"/>
      <c r="D9" s="207"/>
      <c r="E9" s="265" t="s">
        <v>215</v>
      </c>
      <c r="F9" s="326"/>
      <c r="G9" s="173"/>
      <c r="H9" s="207"/>
      <c r="I9" s="207"/>
      <c r="J9" s="170" t="s">
        <v>256</v>
      </c>
      <c r="K9" s="304"/>
      <c r="L9" s="207"/>
      <c r="M9" s="207"/>
      <c r="N9" s="170" t="s">
        <v>247</v>
      </c>
      <c r="O9" s="304"/>
      <c r="P9" s="263"/>
      <c r="Q9" s="172"/>
      <c r="R9" s="208"/>
      <c r="S9" s="208"/>
      <c r="T9" s="208"/>
      <c r="U9" s="2"/>
    </row>
    <row r="10" spans="1:21" ht="13.5" thickBot="1">
      <c r="A10" s="23"/>
      <c r="B10" s="264"/>
      <c r="C10" s="173"/>
      <c r="D10" s="170"/>
      <c r="E10" s="267" t="s">
        <v>269</v>
      </c>
      <c r="F10" s="327"/>
      <c r="G10" s="173"/>
      <c r="H10" s="207"/>
      <c r="I10" s="207"/>
      <c r="J10" s="170" t="s">
        <v>272</v>
      </c>
      <c r="K10" s="304"/>
      <c r="L10" s="207"/>
      <c r="M10" s="207"/>
      <c r="N10" s="170" t="s">
        <v>273</v>
      </c>
      <c r="O10" s="304"/>
      <c r="P10" s="263"/>
      <c r="Q10" s="174"/>
      <c r="R10" s="208"/>
      <c r="S10" s="208"/>
      <c r="T10" s="208"/>
      <c r="U10" s="2"/>
    </row>
    <row r="11" spans="1:21" ht="15" customHeight="1" thickBot="1">
      <c r="A11" s="23"/>
      <c r="B11" s="266"/>
      <c r="C11" s="173"/>
      <c r="D11" s="170"/>
      <c r="E11" s="272" t="s">
        <v>257</v>
      </c>
      <c r="F11" s="327"/>
      <c r="G11" s="173"/>
      <c r="H11" s="207"/>
      <c r="I11" s="207"/>
      <c r="J11" s="170" t="s">
        <v>268</v>
      </c>
      <c r="K11" s="301"/>
      <c r="L11" s="207"/>
      <c r="M11" s="207"/>
      <c r="N11" s="170" t="s">
        <v>281</v>
      </c>
      <c r="O11" s="301"/>
      <c r="P11" s="263"/>
      <c r="Q11" s="173"/>
      <c r="R11" s="171"/>
      <c r="S11" s="171"/>
      <c r="T11" s="171"/>
      <c r="U11" s="2"/>
    </row>
    <row r="12" spans="1:21" ht="13.5" thickBot="1">
      <c r="A12" s="23"/>
      <c r="B12" s="270"/>
      <c r="C12" s="271"/>
      <c r="D12" s="170"/>
      <c r="E12" s="265" t="s">
        <v>199</v>
      </c>
      <c r="F12" s="207"/>
      <c r="G12" s="207"/>
      <c r="H12" s="207"/>
      <c r="I12" s="207"/>
      <c r="J12" s="211" t="s">
        <v>259</v>
      </c>
      <c r="K12" s="303"/>
      <c r="L12" s="207"/>
      <c r="M12" s="191"/>
      <c r="N12" s="211" t="s">
        <v>271</v>
      </c>
      <c r="O12" s="303"/>
      <c r="P12" s="263"/>
      <c r="Q12" s="171"/>
      <c r="R12" s="208"/>
      <c r="S12" s="208"/>
      <c r="T12" s="208"/>
      <c r="U12" s="2"/>
    </row>
    <row r="13" spans="1:21" ht="15.75" customHeight="1" thickBot="1">
      <c r="A13" s="23"/>
      <c r="B13" s="328"/>
      <c r="C13" s="329"/>
      <c r="D13" s="275"/>
      <c r="E13" s="275"/>
      <c r="G13" s="276"/>
      <c r="H13" s="368" t="s">
        <v>276</v>
      </c>
      <c r="I13" s="330"/>
      <c r="J13" s="275"/>
      <c r="K13" s="331"/>
      <c r="L13" s="332"/>
      <c r="M13" s="276"/>
      <c r="N13" s="333"/>
      <c r="O13" s="276"/>
      <c r="P13" s="277"/>
      <c r="Q13" s="174"/>
      <c r="R13" s="208"/>
      <c r="S13" s="208"/>
      <c r="T13" s="208"/>
      <c r="U13" s="171"/>
    </row>
    <row r="14" spans="1:21" ht="14.25" customHeight="1">
      <c r="A14" s="23"/>
      <c r="B14" s="429" t="s">
        <v>184</v>
      </c>
      <c r="C14" s="43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1"/>
      <c r="Q14" s="173"/>
      <c r="R14" s="171"/>
      <c r="S14" s="171"/>
      <c r="T14" s="171"/>
      <c r="U14" s="2"/>
    </row>
    <row r="15" spans="1:21" ht="15.75" customHeight="1" thickBot="1">
      <c r="A15" s="23"/>
      <c r="B15" s="431"/>
      <c r="C15" s="432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334"/>
      <c r="O15" s="173"/>
      <c r="P15" s="282"/>
      <c r="Q15" s="2"/>
      <c r="R15" s="2"/>
      <c r="S15" s="2"/>
      <c r="T15" s="2"/>
      <c r="U15" s="2"/>
    </row>
    <row r="16" spans="1:21" ht="13.5" thickBot="1">
      <c r="A16" s="23"/>
      <c r="B16" s="278"/>
      <c r="C16" s="207"/>
      <c r="D16" s="43"/>
      <c r="E16" s="43"/>
      <c r="F16" s="173"/>
      <c r="G16" s="43"/>
      <c r="H16" s="173"/>
      <c r="I16" s="173"/>
      <c r="J16" s="173"/>
      <c r="K16" s="173"/>
      <c r="L16" s="173"/>
      <c r="M16" s="173"/>
      <c r="N16" s="173"/>
      <c r="O16" s="173"/>
      <c r="P16" s="347"/>
      <c r="Q16" s="2"/>
      <c r="R16" s="2"/>
      <c r="S16" s="2"/>
      <c r="T16" s="2"/>
      <c r="U16" s="2"/>
    </row>
    <row r="17" spans="1:21" ht="13.5" thickBot="1">
      <c r="A17" s="23"/>
      <c r="B17" s="278"/>
      <c r="C17" s="207"/>
      <c r="D17" s="43"/>
      <c r="E17" s="24" t="s">
        <v>0</v>
      </c>
      <c r="F17" s="26"/>
      <c r="G17" s="25" t="s">
        <v>27</v>
      </c>
      <c r="H17" s="173"/>
      <c r="I17" s="173"/>
      <c r="J17" s="207"/>
      <c r="K17" s="173"/>
      <c r="L17" s="207"/>
      <c r="M17" s="207"/>
      <c r="N17" s="207"/>
      <c r="O17" s="43"/>
      <c r="P17" s="263"/>
      <c r="Q17" s="2"/>
      <c r="R17" s="2"/>
      <c r="S17" s="2"/>
      <c r="T17" s="2"/>
      <c r="U17" s="2"/>
    </row>
    <row r="18" spans="1:21" ht="13.5" thickBot="1">
      <c r="A18" s="23"/>
      <c r="B18" s="433" t="s">
        <v>265</v>
      </c>
      <c r="C18" s="441"/>
      <c r="D18" s="207"/>
      <c r="E18" s="27" t="s">
        <v>1</v>
      </c>
      <c r="F18" s="28" t="s">
        <v>26</v>
      </c>
      <c r="G18" s="27" t="s">
        <v>28</v>
      </c>
      <c r="H18" s="44" t="s">
        <v>33</v>
      </c>
      <c r="I18" s="44" t="s">
        <v>5</v>
      </c>
      <c r="J18" s="28" t="s">
        <v>6</v>
      </c>
      <c r="K18" s="226" t="s">
        <v>195</v>
      </c>
      <c r="L18" s="28" t="s">
        <v>196</v>
      </c>
      <c r="M18" s="172"/>
      <c r="N18" s="207"/>
      <c r="O18" s="172"/>
      <c r="P18" s="263"/>
      <c r="Q18" s="188"/>
      <c r="R18" s="188"/>
      <c r="S18" s="188"/>
      <c r="T18" s="188"/>
      <c r="U18" s="171"/>
    </row>
    <row r="19" spans="1:21" ht="13.5" customHeight="1" thickBot="1">
      <c r="A19" s="23"/>
      <c r="B19" s="422" t="s">
        <v>182</v>
      </c>
      <c r="C19" s="423"/>
      <c r="D19" s="170" t="s">
        <v>168</v>
      </c>
      <c r="E19" s="426"/>
      <c r="F19" s="308"/>
      <c r="G19" s="308"/>
      <c r="H19" s="308"/>
      <c r="I19" s="307"/>
      <c r="J19" s="355"/>
      <c r="K19" s="356"/>
      <c r="L19" s="307"/>
      <c r="M19" s="207" t="s">
        <v>168</v>
      </c>
      <c r="N19" s="207"/>
      <c r="O19" s="440"/>
      <c r="P19" s="263"/>
      <c r="Q19" s="188"/>
      <c r="R19" s="188"/>
      <c r="S19" s="188"/>
      <c r="T19" s="188"/>
      <c r="U19" s="171"/>
    </row>
    <row r="20" spans="1:21" ht="13.5" thickBot="1">
      <c r="A20" s="23"/>
      <c r="B20" s="422"/>
      <c r="C20" s="423"/>
      <c r="D20" s="216" t="s">
        <v>169</v>
      </c>
      <c r="E20" s="427"/>
      <c r="F20" s="357"/>
      <c r="G20" s="357"/>
      <c r="H20" s="357"/>
      <c r="I20" s="358"/>
      <c r="J20" s="357"/>
      <c r="K20" s="359"/>
      <c r="L20" s="14"/>
      <c r="M20" s="220" t="s">
        <v>169</v>
      </c>
      <c r="N20" s="207"/>
      <c r="O20" s="440"/>
      <c r="P20" s="263"/>
      <c r="Q20" s="2"/>
      <c r="R20" s="2"/>
      <c r="S20" s="2"/>
      <c r="T20" s="2"/>
      <c r="U20" s="171"/>
    </row>
    <row r="21" spans="1:21" ht="13.5" thickBot="1">
      <c r="A21" s="23"/>
      <c r="B21" s="278"/>
      <c r="C21" s="207"/>
      <c r="D21" s="207"/>
      <c r="E21" s="207"/>
      <c r="F21" s="207"/>
      <c r="G21" s="207"/>
      <c r="H21" s="379"/>
      <c r="I21" s="207"/>
      <c r="J21" s="207"/>
      <c r="K21" s="349"/>
      <c r="L21" s="207"/>
      <c r="M21" s="207"/>
      <c r="N21" s="207"/>
      <c r="O21" s="173"/>
      <c r="P21" s="263"/>
      <c r="Q21" s="2"/>
      <c r="R21" s="2"/>
      <c r="S21" s="2"/>
      <c r="T21" s="2"/>
      <c r="U21" s="171"/>
    </row>
    <row r="22" spans="1:21" ht="13.5" customHeight="1" thickBot="1">
      <c r="A22" s="23"/>
      <c r="B22" s="422" t="s">
        <v>183</v>
      </c>
      <c r="C22" s="423"/>
      <c r="D22" s="210" t="s">
        <v>168</v>
      </c>
      <c r="E22" s="426"/>
      <c r="F22" s="308"/>
      <c r="G22" s="308"/>
      <c r="H22" s="308"/>
      <c r="I22" s="307"/>
      <c r="J22" s="308"/>
      <c r="K22" s="356"/>
      <c r="L22" s="307"/>
      <c r="M22" s="207" t="s">
        <v>168</v>
      </c>
      <c r="N22" s="207"/>
      <c r="O22" s="440"/>
      <c r="P22" s="263"/>
      <c r="Q22" s="2"/>
      <c r="R22" s="2"/>
      <c r="S22" s="2"/>
      <c r="T22" s="2"/>
      <c r="U22" s="171"/>
    </row>
    <row r="23" spans="1:21" ht="13.5" thickBot="1">
      <c r="A23" s="23"/>
      <c r="B23" s="422"/>
      <c r="C23" s="423"/>
      <c r="D23" s="216" t="s">
        <v>169</v>
      </c>
      <c r="E23" s="427"/>
      <c r="F23" s="357"/>
      <c r="G23" s="357"/>
      <c r="H23" s="357"/>
      <c r="I23" s="358"/>
      <c r="J23" s="357"/>
      <c r="K23" s="359"/>
      <c r="L23" s="14"/>
      <c r="M23" s="220" t="s">
        <v>169</v>
      </c>
      <c r="N23" s="207"/>
      <c r="O23" s="440"/>
      <c r="P23" s="263"/>
      <c r="Q23" s="2"/>
      <c r="R23" s="2"/>
      <c r="S23" s="2"/>
      <c r="T23" s="2"/>
      <c r="U23" s="171"/>
    </row>
    <row r="24" spans="1:21" ht="12.75">
      <c r="A24" s="23"/>
      <c r="B24" s="278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63"/>
      <c r="Q24" s="2"/>
      <c r="R24" s="2"/>
      <c r="S24" s="2"/>
      <c r="T24" s="2"/>
      <c r="U24" s="171"/>
    </row>
    <row r="25" spans="1:21" ht="13.5" thickBot="1">
      <c r="A25" s="23"/>
      <c r="B25" s="16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3"/>
      <c r="Q25" s="2"/>
      <c r="R25" s="2"/>
      <c r="S25" s="2"/>
      <c r="T25" s="2"/>
      <c r="U25" s="2"/>
    </row>
    <row r="26" spans="1:35" ht="13.5" thickBot="1">
      <c r="A26" s="23"/>
      <c r="B26" s="278"/>
      <c r="C26" s="207"/>
      <c r="D26" s="43"/>
      <c r="E26" s="24" t="s">
        <v>0</v>
      </c>
      <c r="F26" s="26"/>
      <c r="G26" s="25" t="s">
        <v>27</v>
      </c>
      <c r="H26" s="173"/>
      <c r="I26" s="173"/>
      <c r="J26" s="207"/>
      <c r="K26" s="173"/>
      <c r="L26" s="207"/>
      <c r="M26" s="207"/>
      <c r="N26" s="2"/>
      <c r="O26" s="2"/>
      <c r="P26" s="73"/>
      <c r="Q26" s="171"/>
      <c r="R26" s="171"/>
      <c r="S26" s="2"/>
      <c r="T26" s="2"/>
      <c r="U26" s="2"/>
      <c r="AG26" s="9"/>
      <c r="AH26" s="9"/>
      <c r="AI26" s="9"/>
    </row>
    <row r="27" spans="1:45" ht="13.5" thickBot="1">
      <c r="A27" s="23"/>
      <c r="B27" s="433" t="s">
        <v>251</v>
      </c>
      <c r="C27" s="442"/>
      <c r="D27" s="207"/>
      <c r="E27" s="27" t="s">
        <v>1</v>
      </c>
      <c r="F27" s="28" t="s">
        <v>26</v>
      </c>
      <c r="G27" s="27" t="s">
        <v>180</v>
      </c>
      <c r="H27" s="28" t="s">
        <v>216</v>
      </c>
      <c r="I27" s="28" t="s">
        <v>174</v>
      </c>
      <c r="J27" s="28" t="s">
        <v>175</v>
      </c>
      <c r="K27" s="28" t="s">
        <v>177</v>
      </c>
      <c r="L27" s="28" t="s">
        <v>178</v>
      </c>
      <c r="M27" s="172"/>
      <c r="N27" s="2"/>
      <c r="O27" s="2"/>
      <c r="P27" s="73"/>
      <c r="Q27" s="171"/>
      <c r="R27" s="171"/>
      <c r="Y27" s="1"/>
      <c r="AE27" s="6"/>
      <c r="AF27" s="6"/>
      <c r="AP27" s="9"/>
      <c r="AQ27" s="9"/>
      <c r="AR27" s="9"/>
      <c r="AS27" s="9"/>
    </row>
    <row r="28" spans="2:18" ht="13.5" thickBot="1">
      <c r="B28" s="422" t="s">
        <v>266</v>
      </c>
      <c r="C28" s="423"/>
      <c r="D28" s="170" t="s">
        <v>168</v>
      </c>
      <c r="E28" s="424">
        <f>IF(E19="","",E19)</f>
      </c>
      <c r="F28" s="385">
        <f>IF(F19="","",F19)</f>
      </c>
      <c r="G28" s="385">
        <f>IF(G19="","",G19*0.4536)</f>
      </c>
      <c r="H28" s="385">
        <f>IF(H19="","",H19*6.894757)</f>
      </c>
      <c r="I28" s="384">
        <f>IF(I19="","",I19*0.02831685*60)</f>
      </c>
      <c r="J28" s="392">
        <f>IF(J19="","",J19*1000*0.2930711)</f>
      </c>
      <c r="K28" s="393">
        <f>IF(K19="","",(K19-32)*5/9)</f>
      </c>
      <c r="L28" s="385">
        <f>IF(L19="","",(L19-32)*5/9)</f>
      </c>
      <c r="M28" s="207" t="s">
        <v>168</v>
      </c>
      <c r="N28" s="2"/>
      <c r="O28" s="2"/>
      <c r="P28" s="73"/>
      <c r="Q28" s="171"/>
      <c r="R28" s="171"/>
    </row>
    <row r="29" spans="2:16" ht="12" customHeight="1" thickBot="1">
      <c r="B29" s="422"/>
      <c r="C29" s="423"/>
      <c r="D29" s="216" t="s">
        <v>169</v>
      </c>
      <c r="E29" s="425"/>
      <c r="F29" s="298">
        <f>IF(F20="","",F20)</f>
      </c>
      <c r="G29" s="298">
        <f>IF(G20="","",G20*0.4536)</f>
      </c>
      <c r="H29" s="298">
        <f>IF(H20="","",H20*6.894757)</f>
      </c>
      <c r="I29" s="378">
        <f>IF(I20="","",I20*0.02831685*60)</f>
      </c>
      <c r="J29" s="378">
        <f>IF(J20="","",J20*1000*0.2930711)</f>
      </c>
      <c r="K29" s="394">
        <f>IF(K20="","",(K20-32)*5/9)</f>
      </c>
      <c r="L29" s="298">
        <f>IF(L20="","",(L20-32)*5/9)</f>
      </c>
      <c r="M29" s="220" t="s">
        <v>169</v>
      </c>
      <c r="N29" s="2"/>
      <c r="O29" s="2"/>
      <c r="P29" s="73"/>
    </row>
    <row r="30" spans="2:16" ht="13.5" thickBot="1">
      <c r="B30" s="278"/>
      <c r="C30" s="207"/>
      <c r="D30" s="207"/>
      <c r="E30" s="207"/>
      <c r="F30" s="349"/>
      <c r="G30" s="349"/>
      <c r="H30" s="379"/>
      <c r="I30" s="380"/>
      <c r="J30" s="380"/>
      <c r="K30" s="349"/>
      <c r="L30" s="349"/>
      <c r="M30" s="207"/>
      <c r="N30" s="2"/>
      <c r="O30" s="2"/>
      <c r="P30" s="73"/>
    </row>
    <row r="31" spans="2:18" ht="13.5" thickBot="1">
      <c r="B31" s="422" t="s">
        <v>267</v>
      </c>
      <c r="C31" s="423"/>
      <c r="D31" s="210" t="s">
        <v>168</v>
      </c>
      <c r="E31" s="424">
        <f>IF(E22="","",E22)</f>
      </c>
      <c r="F31" s="385">
        <f>IF(F22="","",F22)</f>
      </c>
      <c r="G31" s="385">
        <f>IF(G22="","",G22*0.4536)</f>
      </c>
      <c r="H31" s="385">
        <f>IF(H22="","",H22*6.894757)</f>
      </c>
      <c r="I31" s="384">
        <f>IF(I22="","",I22*0.02831685*60)</f>
      </c>
      <c r="J31" s="384">
        <f>IF(J22="","",J22*1000*0.2930711)</f>
      </c>
      <c r="K31" s="393">
        <f>IF(K22="","",(K22-32)*5/9)</f>
      </c>
      <c r="L31" s="385">
        <f>IF(L22="","",(L22-32)*5/9)</f>
      </c>
      <c r="M31" s="207" t="s">
        <v>168</v>
      </c>
      <c r="N31" s="2"/>
      <c r="O31" s="2"/>
      <c r="P31" s="73"/>
      <c r="Q31" s="171"/>
      <c r="R31" s="171"/>
    </row>
    <row r="32" spans="2:18" ht="13.5" thickBot="1">
      <c r="B32" s="422"/>
      <c r="C32" s="423"/>
      <c r="D32" s="216" t="s">
        <v>169</v>
      </c>
      <c r="E32" s="425"/>
      <c r="F32" s="298">
        <f>IF(F23="","",F23)</f>
      </c>
      <c r="G32" s="298">
        <f>IF(G23="","",G23*0.4536)</f>
      </c>
      <c r="H32" s="298">
        <f>IF(H23="","",H23*6.894757)</f>
      </c>
      <c r="I32" s="378">
        <f>IF(I23="","",I23*0.02831685*60)</f>
      </c>
      <c r="J32" s="378">
        <f>IF(J23="","",J23*1000*0.2930711)</f>
      </c>
      <c r="K32" s="394">
        <f>IF(K23="","",(K23-32)*5/9)</f>
      </c>
      <c r="L32" s="298">
        <f>IF(L23="","",(L23-32)*5/9)</f>
      </c>
      <c r="M32" s="220" t="s">
        <v>169</v>
      </c>
      <c r="N32" s="2"/>
      <c r="O32" s="2"/>
      <c r="P32" s="73"/>
      <c r="Q32" s="171"/>
      <c r="R32" s="171"/>
    </row>
    <row r="33" spans="2:18" ht="12.75">
      <c r="B33" s="16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73"/>
      <c r="Q33" s="171"/>
      <c r="R33" s="171"/>
    </row>
    <row r="34" spans="2:18" ht="12.75">
      <c r="B34" s="339"/>
      <c r="C34" s="340"/>
      <c r="D34" s="173"/>
      <c r="E34" s="43"/>
      <c r="F34" s="43"/>
      <c r="G34" s="185"/>
      <c r="H34" s="173"/>
      <c r="I34" s="173"/>
      <c r="J34" s="338" t="s">
        <v>198</v>
      </c>
      <c r="K34" s="207"/>
      <c r="L34" s="207"/>
      <c r="M34" s="173"/>
      <c r="N34" s="173"/>
      <c r="O34" s="207"/>
      <c r="P34" s="263"/>
      <c r="Q34" s="171"/>
      <c r="R34" s="171"/>
    </row>
    <row r="35" spans="2:18" ht="15">
      <c r="B35" s="264"/>
      <c r="C35" s="350"/>
      <c r="D35" s="173"/>
      <c r="E35" s="351"/>
      <c r="F35" s="207"/>
      <c r="G35" s="221"/>
      <c r="H35" s="207"/>
      <c r="I35" s="352"/>
      <c r="J35" s="341" t="s">
        <v>170</v>
      </c>
      <c r="K35" s="353"/>
      <c r="L35" s="220"/>
      <c r="M35" s="220"/>
      <c r="N35" s="207"/>
      <c r="O35" s="207"/>
      <c r="P35" s="263"/>
      <c r="Q35" s="171"/>
      <c r="R35" s="171"/>
    </row>
    <row r="36" spans="2:16" ht="13.5" thickBot="1">
      <c r="B36" s="354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7"/>
    </row>
  </sheetData>
  <sheetProtection password="F635" sheet="1" objects="1" scenarios="1"/>
  <mergeCells count="18">
    <mergeCell ref="N7:O7"/>
    <mergeCell ref="J7:K7"/>
    <mergeCell ref="B28:C29"/>
    <mergeCell ref="E28:E29"/>
    <mergeCell ref="B31:C32"/>
    <mergeCell ref="E31:E32"/>
    <mergeCell ref="B18:C18"/>
    <mergeCell ref="B27:C27"/>
    <mergeCell ref="B2:P3"/>
    <mergeCell ref="R7:T7"/>
    <mergeCell ref="B19:C20"/>
    <mergeCell ref="B22:C23"/>
    <mergeCell ref="B6:C7"/>
    <mergeCell ref="E19:E20"/>
    <mergeCell ref="E22:E23"/>
    <mergeCell ref="B14:C15"/>
    <mergeCell ref="O19:O20"/>
    <mergeCell ref="O22:O23"/>
  </mergeCells>
  <dataValidations count="10">
    <dataValidation type="decimal" allowBlank="1" showInputMessage="1" showErrorMessage="1" promptTitle="Range ºF" prompt="0 - 100&#10;&#10;Std. &quot;60&quot;" sqref="K9">
      <formula1>0</formula1>
      <formula2>100</formula2>
    </dataValidation>
    <dataValidation type="decimal" allowBlank="1" showInputMessage="1" showErrorMessage="1" promptTitle="Range (psi)" prompt="0 -150&#10;&#10;Std.  &quot;2&quot;" sqref="K10">
      <formula1>0</formula1>
      <formula2>150</formula2>
    </dataValidation>
    <dataValidation type="decimal" allowBlank="1" showInputMessage="1" showErrorMessage="1" promptTitle="Range (Inches)" prompt="0 - .4&#10;&#10;Std.  &quot;0&quot;" sqref="K11">
      <formula1>0</formula1>
      <formula2>0.4</formula2>
    </dataValidation>
    <dataValidation type="decimal" allowBlank="1" showInputMessage="1" showErrorMessage="1" promptTitle="Required MBH" prompt="Range: 0 - 200&#10;&#10;Standards&#10;Min.   19.6&#10;Max.  108.2&#10;" sqref="K8">
      <formula1>0</formula1>
      <formula2>200</formula2>
    </dataValidation>
    <dataValidation type="decimal" allowBlank="1" showInputMessage="1" showErrorMessage="1" promptTitle="Range (Ft)" prompt="0 to 10000&#10;&#10;Std. &quot;0&quot;" error="Range: 0 to 20000 Feet Altitude, Please Try Again." sqref="K12">
      <formula1>0</formula1>
      <formula2>10000</formula2>
    </dataValidation>
    <dataValidation type="decimal" allowBlank="1" showInputMessage="1" showErrorMessage="1" promptTitle="Range ºC" prompt="0 - 37.7&#10;&#10;Std. &quot;15.6&quot;" sqref="O9">
      <formula1>0</formula1>
      <formula2>37.7</formula2>
    </dataValidation>
    <dataValidation type="decimal" allowBlank="1" showInputMessage="1" showErrorMessage="1" promptTitle="Range mm H2O" prompt="0 - 10.1&#10;&#10;Std.  &quot;0&quot;" sqref="O11">
      <formula1>0</formula1>
      <formula2>10.1</formula2>
    </dataValidation>
    <dataValidation type="decimal" allowBlank="1" showInputMessage="1" showErrorMessage="1" promptTitle="Range meters" prompt="0 to 3048&#10;&#10;Std. &quot;0&quot;" error="Range: 0 to 20000 Feet Altitude, Please Try Again." sqref="O12">
      <formula1>0</formula1>
      <formula2>10000</formula2>
    </dataValidation>
    <dataValidation type="decimal" allowBlank="1" showInputMessage="1" showErrorMessage="1" promptTitle="Required Watts" prompt="Range: 0 - 58614&#10;&#10;Standards&#10;Min.   5744&#10;Max.  31710&#10;" sqref="O8">
      <formula1>0</formula1>
      <formula2>58614</formula2>
    </dataValidation>
    <dataValidation type="decimal" allowBlank="1" showInputMessage="1" showErrorMessage="1" promptTitle="Range kPa" prompt="0 -1034&#10;&#10;Std.  &quot;13.78&quot;" sqref="O10">
      <formula1>0</formula1>
      <formula2>1034</formula2>
    </dataValidation>
  </dataValidations>
  <printOptions horizontalCentered="1"/>
  <pageMargins left="0" right="0" top="1.5" bottom="0" header="0.75" footer="0"/>
  <pageSetup blackAndWhite="1" fitToHeight="1" fitToWidth="1" horizontalDpi="600" verticalDpi="600" orientation="landscape" r:id="rId3"/>
  <headerFooter alignWithMargins="0">
    <oddFooter>&amp;L&amp;F&amp;R&amp;D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E69"/>
  <sheetViews>
    <sheetView showGridLines="0" showRowColHeader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11.8515625" style="0" customWidth="1"/>
    <col min="4" max="4" width="4.00390625" style="0" customWidth="1"/>
    <col min="5" max="5" width="8.7109375" style="0" customWidth="1"/>
    <col min="16" max="16" width="7.00390625" style="0" customWidth="1"/>
  </cols>
  <sheetData>
    <row r="1" spans="1:16" ht="13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3.5" customHeight="1">
      <c r="A2" s="23"/>
      <c r="B2" s="435" t="s">
        <v>190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1:16" ht="13.5" customHeight="1">
      <c r="A3" s="23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</row>
    <row r="4" spans="1:16" ht="13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3.5" customHeight="1" thickBo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3.5" customHeight="1">
      <c r="A6" s="23"/>
      <c r="B6" s="429" t="s">
        <v>185</v>
      </c>
      <c r="C6" s="43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1"/>
    </row>
    <row r="7" spans="1:16" ht="13.5" thickBot="1">
      <c r="A7" s="23"/>
      <c r="B7" s="431"/>
      <c r="C7" s="432"/>
      <c r="D7" s="207"/>
      <c r="E7" s="262" t="s">
        <v>188</v>
      </c>
      <c r="F7" s="207"/>
      <c r="G7" s="207"/>
      <c r="H7" s="170" t="s">
        <v>1</v>
      </c>
      <c r="I7" s="207"/>
      <c r="K7" s="207"/>
      <c r="L7" s="173"/>
      <c r="M7" s="207"/>
      <c r="N7" s="268"/>
      <c r="O7" s="268"/>
      <c r="P7" s="263"/>
    </row>
    <row r="8" spans="1:16" ht="15.75" customHeight="1" thickBot="1">
      <c r="A8" s="23"/>
      <c r="B8" s="264"/>
      <c r="C8" s="173"/>
      <c r="D8" s="207"/>
      <c r="E8" s="262"/>
      <c r="F8" s="207"/>
      <c r="G8" s="207"/>
      <c r="H8" s="207"/>
      <c r="I8" s="207"/>
      <c r="J8" s="443" t="s">
        <v>260</v>
      </c>
      <c r="K8" s="443"/>
      <c r="L8" s="207"/>
      <c r="M8" s="207"/>
      <c r="N8" s="443" t="s">
        <v>246</v>
      </c>
      <c r="O8" s="443"/>
      <c r="P8" s="263"/>
    </row>
    <row r="9" spans="1:16" ht="13.5" thickBot="1">
      <c r="A9" s="23"/>
      <c r="B9" s="264"/>
      <c r="C9" s="173"/>
      <c r="D9" s="207"/>
      <c r="E9" s="265" t="s">
        <v>215</v>
      </c>
      <c r="F9" s="207"/>
      <c r="G9" s="207"/>
      <c r="H9" s="207"/>
      <c r="I9" s="207"/>
      <c r="J9" s="170" t="s">
        <v>256</v>
      </c>
      <c r="K9" s="301"/>
      <c r="L9" s="173"/>
      <c r="M9" s="207"/>
      <c r="N9" s="170" t="s">
        <v>247</v>
      </c>
      <c r="O9" s="301"/>
      <c r="P9" s="263"/>
    </row>
    <row r="10" spans="1:16" ht="13.5" thickBot="1">
      <c r="A10" s="23"/>
      <c r="B10" s="264"/>
      <c r="C10" s="173"/>
      <c r="D10" s="207"/>
      <c r="E10" s="267" t="s">
        <v>277</v>
      </c>
      <c r="F10" s="207"/>
      <c r="G10" s="207"/>
      <c r="H10" s="207"/>
      <c r="I10" s="207"/>
      <c r="J10" s="170" t="s">
        <v>272</v>
      </c>
      <c r="K10" s="304"/>
      <c r="L10" s="207"/>
      <c r="M10" s="207"/>
      <c r="N10" s="170" t="s">
        <v>273</v>
      </c>
      <c r="O10" s="304"/>
      <c r="P10" s="263"/>
    </row>
    <row r="11" spans="1:16" ht="13.5" thickBot="1">
      <c r="A11" s="23"/>
      <c r="B11" s="266"/>
      <c r="C11" s="173"/>
      <c r="D11" s="207"/>
      <c r="E11" s="272" t="s">
        <v>257</v>
      </c>
      <c r="F11" s="207"/>
      <c r="G11" s="207"/>
      <c r="H11" s="207"/>
      <c r="I11" s="207"/>
      <c r="J11" s="170" t="s">
        <v>278</v>
      </c>
      <c r="K11" s="301"/>
      <c r="L11" s="207"/>
      <c r="M11" s="207"/>
      <c r="N11" s="170" t="s">
        <v>280</v>
      </c>
      <c r="O11" s="301"/>
      <c r="P11" s="263"/>
    </row>
    <row r="12" spans="1:16" ht="13.5" thickBot="1">
      <c r="A12" s="23"/>
      <c r="B12" s="270"/>
      <c r="C12" s="271"/>
      <c r="D12" s="207"/>
      <c r="E12" s="265" t="s">
        <v>279</v>
      </c>
      <c r="F12" s="207"/>
      <c r="G12" s="207"/>
      <c r="H12" s="207"/>
      <c r="I12" s="207"/>
      <c r="J12" s="211" t="s">
        <v>259</v>
      </c>
      <c r="K12" s="303"/>
      <c r="L12" s="207"/>
      <c r="M12" s="191"/>
      <c r="N12" s="211" t="s">
        <v>271</v>
      </c>
      <c r="O12" s="303"/>
      <c r="P12" s="263"/>
    </row>
    <row r="13" spans="1:16" ht="13.5" thickBot="1">
      <c r="A13" s="23"/>
      <c r="B13" s="360"/>
      <c r="C13" s="275"/>
      <c r="D13" s="276"/>
      <c r="E13" s="276"/>
      <c r="F13" s="276"/>
      <c r="G13" s="276"/>
      <c r="H13" s="368" t="s">
        <v>276</v>
      </c>
      <c r="I13" s="276"/>
      <c r="J13" s="276"/>
      <c r="K13" s="276"/>
      <c r="L13" s="276"/>
      <c r="M13" s="276"/>
      <c r="N13" s="333"/>
      <c r="O13" s="276"/>
      <c r="P13" s="277"/>
    </row>
    <row r="14" spans="1:16" ht="12.75">
      <c r="A14" s="23"/>
      <c r="B14" s="429" t="s">
        <v>184</v>
      </c>
      <c r="C14" s="43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1"/>
    </row>
    <row r="15" spans="1:16" ht="13.5" thickBot="1">
      <c r="A15" s="23"/>
      <c r="B15" s="431"/>
      <c r="C15" s="432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63"/>
    </row>
    <row r="16" spans="1:16" ht="13.5" thickBot="1">
      <c r="A16" s="23"/>
      <c r="B16" s="278"/>
      <c r="C16" s="207"/>
      <c r="D16" s="173"/>
      <c r="E16" s="24" t="s">
        <v>0</v>
      </c>
      <c r="F16" s="26"/>
      <c r="G16" s="25" t="s">
        <v>27</v>
      </c>
      <c r="H16" s="173"/>
      <c r="I16" s="173"/>
      <c r="J16" s="207"/>
      <c r="K16" s="173"/>
      <c r="L16" s="207"/>
      <c r="M16" s="173"/>
      <c r="N16" s="173"/>
      <c r="O16" s="173"/>
      <c r="P16" s="263"/>
    </row>
    <row r="17" spans="1:16" ht="13.5" customHeight="1" thickBot="1">
      <c r="A17" s="23"/>
      <c r="B17" s="278"/>
      <c r="C17" s="207"/>
      <c r="D17" s="207"/>
      <c r="E17" s="27" t="s">
        <v>1</v>
      </c>
      <c r="F17" s="28" t="s">
        <v>26</v>
      </c>
      <c r="G17" s="27" t="s">
        <v>28</v>
      </c>
      <c r="H17" s="44" t="s">
        <v>33</v>
      </c>
      <c r="I17" s="44" t="s">
        <v>5</v>
      </c>
      <c r="J17" s="25" t="s">
        <v>6</v>
      </c>
      <c r="K17" s="55" t="s">
        <v>195</v>
      </c>
      <c r="L17" s="28" t="s">
        <v>196</v>
      </c>
      <c r="M17" s="207" t="s">
        <v>48</v>
      </c>
      <c r="N17" s="207"/>
      <c r="O17" s="207" t="s">
        <v>48</v>
      </c>
      <c r="P17" s="263"/>
    </row>
    <row r="18" spans="1:16" ht="13.5" customHeight="1" thickBot="1">
      <c r="A18" s="23"/>
      <c r="B18" s="422" t="s">
        <v>187</v>
      </c>
      <c r="C18" s="423"/>
      <c r="D18" s="207"/>
      <c r="E18" s="426"/>
      <c r="F18" s="308"/>
      <c r="G18" s="308"/>
      <c r="H18" s="307"/>
      <c r="I18" s="307"/>
      <c r="J18" s="308"/>
      <c r="K18" s="308"/>
      <c r="L18" s="308"/>
      <c r="M18" s="281" t="s">
        <v>201</v>
      </c>
      <c r="N18" s="207"/>
      <c r="O18" s="207"/>
      <c r="P18" s="263"/>
    </row>
    <row r="19" spans="1:16" ht="13.5" thickBot="1">
      <c r="A19" s="23"/>
      <c r="B19" s="422"/>
      <c r="C19" s="423"/>
      <c r="D19" s="173"/>
      <c r="E19" s="427"/>
      <c r="F19" s="357"/>
      <c r="G19" s="15"/>
      <c r="H19" s="16"/>
      <c r="I19" s="16"/>
      <c r="J19" s="15"/>
      <c r="K19" s="15"/>
      <c r="L19" s="15"/>
      <c r="M19" s="283" t="s">
        <v>200</v>
      </c>
      <c r="N19" s="220"/>
      <c r="O19" s="220"/>
      <c r="P19" s="263"/>
    </row>
    <row r="20" spans="1:16" ht="16.5" customHeight="1" thickBot="1">
      <c r="A20" s="23"/>
      <c r="B20" s="278"/>
      <c r="C20" s="207"/>
      <c r="D20" s="207"/>
      <c r="E20" s="207"/>
      <c r="F20" s="207"/>
      <c r="G20" s="207"/>
      <c r="H20" s="348"/>
      <c r="I20" s="310" t="s">
        <v>283</v>
      </c>
      <c r="J20" s="207"/>
      <c r="K20" s="207"/>
      <c r="L20" s="207"/>
      <c r="M20" s="207"/>
      <c r="N20" s="207"/>
      <c r="O20" s="207"/>
      <c r="P20" s="263"/>
    </row>
    <row r="21" spans="1:16" ht="13.5" thickBot="1">
      <c r="A21" s="23"/>
      <c r="B21" s="278"/>
      <c r="C21" s="207"/>
      <c r="D21" s="173"/>
      <c r="E21" s="24" t="s">
        <v>0</v>
      </c>
      <c r="F21" s="26"/>
      <c r="G21" s="25" t="s">
        <v>27</v>
      </c>
      <c r="H21" s="173"/>
      <c r="I21" s="173"/>
      <c r="J21" s="207"/>
      <c r="K21" s="173"/>
      <c r="L21" s="207"/>
      <c r="M21" s="207"/>
      <c r="N21" s="207"/>
      <c r="O21" s="207"/>
      <c r="P21" s="263"/>
    </row>
    <row r="22" spans="1:16" ht="13.5" thickBot="1">
      <c r="A22" s="23"/>
      <c r="B22" s="278"/>
      <c r="C22" s="207"/>
      <c r="D22" s="173"/>
      <c r="E22" s="27" t="s">
        <v>1</v>
      </c>
      <c r="F22" s="28" t="s">
        <v>26</v>
      </c>
      <c r="G22" s="27" t="s">
        <v>180</v>
      </c>
      <c r="H22" s="28" t="s">
        <v>216</v>
      </c>
      <c r="I22" s="28" t="s">
        <v>174</v>
      </c>
      <c r="J22" s="28" t="s">
        <v>175</v>
      </c>
      <c r="K22" s="28" t="s">
        <v>177</v>
      </c>
      <c r="L22" s="28" t="s">
        <v>178</v>
      </c>
      <c r="M22" s="207"/>
      <c r="N22" s="207"/>
      <c r="O22" s="207"/>
      <c r="P22" s="263"/>
    </row>
    <row r="23" spans="1:16" ht="13.5" thickBot="1">
      <c r="A23" s="23"/>
      <c r="B23" s="422" t="s">
        <v>186</v>
      </c>
      <c r="C23" s="423"/>
      <c r="D23" s="173"/>
      <c r="E23" s="437">
        <f>IF(E18="","",E18)</f>
      </c>
      <c r="F23" s="296">
        <f>IF(F18="","",F18)</f>
      </c>
      <c r="G23" s="296">
        <f>IF(G18="","",G18*0.4536)</f>
      </c>
      <c r="H23" s="296">
        <f>IF(H18="","",H18*6.894757)</f>
      </c>
      <c r="I23" s="296">
        <f>IF(I18="","",I18*0.02831685*60)</f>
      </c>
      <c r="J23" s="377">
        <f>IF(J18="","",J18*1000*0.2930711)</f>
      </c>
      <c r="K23" s="296">
        <f>IF(K18="","",(K18-32)*5/9)</f>
      </c>
      <c r="L23" s="296">
        <f>IF(L18="","",(L18-32)*5/9)</f>
      </c>
      <c r="M23" s="281" t="s">
        <v>201</v>
      </c>
      <c r="N23" s="207"/>
      <c r="O23" s="207"/>
      <c r="P23" s="263"/>
    </row>
    <row r="24" spans="1:16" ht="13.5" thickBot="1">
      <c r="A24" s="23"/>
      <c r="B24" s="422"/>
      <c r="C24" s="423"/>
      <c r="D24" s="173"/>
      <c r="E24" s="438"/>
      <c r="F24" s="298">
        <f>IF(F19="","",F19)</f>
      </c>
      <c r="G24" s="298">
        <f>IF(G19="","",G19*0.4536)</f>
      </c>
      <c r="H24" s="298">
        <f>IF(H19="","",H19*6.894757)</f>
      </c>
      <c r="I24" s="298">
        <f>IF(I19="","",I19*0.02831685*60)</f>
      </c>
      <c r="J24" s="378">
        <f>IF(J19="","",J19*1000*0.2930711)</f>
      </c>
      <c r="K24" s="298">
        <f>IF(K19="","",(K19-32)*5/9)</f>
      </c>
      <c r="L24" s="298">
        <f>IF(L19="","",(L19-32)*5/9)</f>
      </c>
      <c r="M24" s="283" t="s">
        <v>200</v>
      </c>
      <c r="N24" s="220"/>
      <c r="O24" s="220"/>
      <c r="P24" s="263"/>
    </row>
    <row r="25" spans="1:16" ht="13.5" thickBot="1">
      <c r="A25" s="207"/>
      <c r="B25" s="299"/>
      <c r="C25" s="300"/>
      <c r="D25" s="276"/>
      <c r="E25" s="276"/>
      <c r="F25" s="276"/>
      <c r="G25" s="276"/>
      <c r="H25" s="276"/>
      <c r="I25" s="381" t="s">
        <v>284</v>
      </c>
      <c r="J25" s="276"/>
      <c r="K25" s="276"/>
      <c r="L25" s="276"/>
      <c r="M25" s="276"/>
      <c r="N25" s="276"/>
      <c r="O25" s="276"/>
      <c r="P25" s="277"/>
    </row>
    <row r="26" spans="1:31" ht="12.75">
      <c r="A26" s="2"/>
      <c r="T26" s="7"/>
      <c r="V26" s="183"/>
      <c r="W26" s="183"/>
      <c r="X26" s="183"/>
      <c r="Y26" s="183"/>
      <c r="Z26" s="183"/>
      <c r="AA26" s="183"/>
      <c r="AC26" s="6"/>
      <c r="AD26" s="6"/>
      <c r="AE26" s="7"/>
    </row>
    <row r="27" spans="1:29" ht="12.75">
      <c r="A27" s="2"/>
      <c r="T27" s="5"/>
      <c r="AC27" s="6"/>
    </row>
    <row r="28" spans="1:27" ht="12.75">
      <c r="A28" s="2"/>
      <c r="AA28" s="7"/>
    </row>
    <row r="29" spans="1:31" ht="12.75">
      <c r="A29" s="2"/>
      <c r="T29" s="8"/>
      <c r="V29" s="7"/>
      <c r="W29" s="7"/>
      <c r="AB29" s="49"/>
      <c r="AC29" s="7"/>
      <c r="AD29" s="7"/>
      <c r="AE29" s="7"/>
    </row>
    <row r="30" spans="22:28" ht="12.75">
      <c r="V30" s="42"/>
      <c r="W30" s="42"/>
      <c r="X30" s="42"/>
      <c r="Y30" s="23"/>
      <c r="Z30" s="23"/>
      <c r="AA30" s="23"/>
      <c r="AB30" s="23"/>
    </row>
    <row r="32" ht="12.75">
      <c r="T32" s="7"/>
    </row>
    <row r="35" spans="24:31" ht="12.75">
      <c r="X35" s="1"/>
      <c r="Y35" s="1"/>
      <c r="Z35" s="1"/>
      <c r="AA35" s="1"/>
      <c r="AB35" s="72"/>
      <c r="AE35" s="7"/>
    </row>
    <row r="36" ht="12.75">
      <c r="S36" s="63"/>
    </row>
    <row r="37" ht="12.75">
      <c r="X37" s="175"/>
    </row>
    <row r="38" spans="24:31" ht="12.75">
      <c r="X38" t="s">
        <v>40</v>
      </c>
      <c r="Y38" s="53">
        <f>IF(S40&gt;0,"An approximation has been applied to Pressure Drop for Glycol's affect,","")</f>
      </c>
      <c r="AE38" s="7"/>
    </row>
    <row r="39" ht="12.75">
      <c r="S39" s="176"/>
    </row>
    <row r="69" ht="12.75">
      <c r="H69" s="57"/>
    </row>
  </sheetData>
  <sheetProtection password="F635" sheet="1" objects="1" scenarios="1"/>
  <mergeCells count="9">
    <mergeCell ref="B2:P3"/>
    <mergeCell ref="B6:C7"/>
    <mergeCell ref="E18:E19"/>
    <mergeCell ref="E23:E24"/>
    <mergeCell ref="B14:C15"/>
    <mergeCell ref="B18:C19"/>
    <mergeCell ref="B23:C24"/>
    <mergeCell ref="J8:K8"/>
    <mergeCell ref="N8:O8"/>
  </mergeCells>
  <dataValidations count="8">
    <dataValidation type="decimal" allowBlank="1" showInputMessage="1" showErrorMessage="1" promptTitle="Range ºF" prompt="30 - 100&#10;&#10;Std.  &quot;60&quot;" sqref="K9">
      <formula1>30</formula1>
      <formula2>100</formula2>
    </dataValidation>
    <dataValidation type="decimal" allowBlank="1" showInputMessage="1" showErrorMessage="1" promptTitle="Range (psi)" prompt="0 - 150&#10;&#10;Std. &quot;2&quot;" sqref="K10">
      <formula1>0</formula1>
      <formula2>150</formula2>
    </dataValidation>
    <dataValidation type="decimal" allowBlank="1" showInputMessage="1" showErrorMessage="1" promptTitle="Range (Inches)" prompt="0 - .4&#10;&#10;Std. &quot;0&quot;" sqref="K11">
      <formula1>0</formula1>
      <formula2>0.4</formula2>
    </dataValidation>
    <dataValidation type="decimal" allowBlank="1" showInputMessage="1" showErrorMessage="1" promptTitle="Range (Ft)" prompt="0 to 10000&#10;&#10;Std. &quot;0&quot;" error="Range: 0 to 10000 Feet Altitude, Please Try Again." sqref="K12">
      <formula1>0</formula1>
      <formula2>10000</formula2>
    </dataValidation>
    <dataValidation type="decimal" allowBlank="1" showInputMessage="1" showErrorMessage="1" promptTitle="Range ºC" prompt="-1.2 - 37.7&#10;&#10;Std.  &quot;15.6&quot;" sqref="O9">
      <formula1>-1.2</formula1>
      <formula2>37.7</formula2>
    </dataValidation>
    <dataValidation type="decimal" allowBlank="1" showInputMessage="1" showErrorMessage="1" promptTitle="Range kPa" prompt="0 - 1034&#10;&#10;Std. &quot;13.78&quot;" sqref="O10">
      <formula1>0</formula1>
      <formula2>1034</formula2>
    </dataValidation>
    <dataValidation type="decimal" allowBlank="1" showInputMessage="1" showErrorMessage="1" promptTitle="Range mm" prompt="0 - 10.1&#10;&#10;Std. &quot;0&quot;" sqref="O11">
      <formula1>0</formula1>
      <formula2>10.1</formula2>
    </dataValidation>
    <dataValidation type="decimal" allowBlank="1" showInputMessage="1" showErrorMessage="1" promptTitle="Range meters" prompt="0 to 3048&#10;&#10;Std. &quot;0&quot;" error="Range: 0 to 10000 Feet Altitude, Please Try Again." sqref="O12">
      <formula1>0</formula1>
      <formula2>3048</formula2>
    </dataValidation>
  </dataValidations>
  <printOptions/>
  <pageMargins left="0.75" right="0.75" top="1" bottom="1" header="0.5" footer="0.5"/>
  <pageSetup blackAndWhite="1" fitToHeight="1" fitToWidth="1" horizontalDpi="600" verticalDpi="600" orientation="landscape" scale="93" r:id="rId3"/>
  <headerFooter alignWithMargins="0">
    <oddFooter>&amp;L&amp;F&amp;R&amp;D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B4:C11"/>
  <sheetViews>
    <sheetView zoomScalePageLayoutView="0" workbookViewId="0" topLeftCell="A1">
      <selection activeCell="E17" sqref="E17"/>
    </sheetView>
  </sheetViews>
  <sheetFormatPr defaultColWidth="9.140625" defaultRowHeight="12.75"/>
  <cols>
    <col min="2" max="2" width="10.140625" style="0" bestFit="1" customWidth="1"/>
  </cols>
  <sheetData>
    <row r="4" ht="12.75">
      <c r="B4" t="s">
        <v>241</v>
      </c>
    </row>
    <row r="6" ht="12.75">
      <c r="B6" t="s">
        <v>242</v>
      </c>
    </row>
    <row r="9" spans="2:3" ht="12.75">
      <c r="B9" s="365" t="s">
        <v>243</v>
      </c>
      <c r="C9" s="59" t="s">
        <v>244</v>
      </c>
    </row>
    <row r="10" spans="2:3" ht="12.75">
      <c r="B10" s="228">
        <v>41954</v>
      </c>
      <c r="C10" s="59" t="s">
        <v>245</v>
      </c>
    </row>
    <row r="11" spans="2:3" ht="12.75">
      <c r="B11" s="228">
        <v>42285</v>
      </c>
      <c r="C11" t="s">
        <v>282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Mestek South Windsor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Girard</dc:creator>
  <cp:keywords/>
  <dc:description/>
  <cp:lastModifiedBy>Mark Girard</cp:lastModifiedBy>
  <cp:lastPrinted>2015-10-09T15:52:01Z</cp:lastPrinted>
  <dcterms:created xsi:type="dcterms:W3CDTF">1998-11-05T13:05:30Z</dcterms:created>
  <dcterms:modified xsi:type="dcterms:W3CDTF">2019-04-09T12:07:55Z</dcterms:modified>
  <cp:category/>
  <cp:version/>
  <cp:contentType/>
  <cp:contentStatus/>
</cp:coreProperties>
</file>